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ocuments\Costo-Beneficio\Anexo C\"/>
    </mc:Choice>
  </mc:AlternateContent>
  <bookViews>
    <workbookView xWindow="0" yWindow="0" windowWidth="20490" windowHeight="7065" activeTab="1"/>
  </bookViews>
  <sheets>
    <sheet name="Hoja1" sheetId="1" r:id="rId1"/>
    <sheet name="EDAS" sheetId="2" r:id="rId2"/>
    <sheet name="Conjuntivitis" sheetId="3" r:id="rId3"/>
    <sheet name="IRAS" sheetId="4" r:id="rId4"/>
    <sheet name="Resumen" sheetId="6" r:id="rId5"/>
  </sheets>
  <calcPr calcId="162913"/>
</workbook>
</file>

<file path=xl/calcChain.xml><?xml version="1.0" encoding="utf-8"?>
<calcChain xmlns="http://schemas.openxmlformats.org/spreadsheetml/2006/main">
  <c r="G21" i="2" l="1"/>
  <c r="S46" i="6"/>
  <c r="T46" i="6"/>
  <c r="P35" i="6" s="1"/>
  <c r="R35" i="6" s="1"/>
  <c r="T52" i="6"/>
  <c r="S52" i="6"/>
  <c r="T47" i="6"/>
  <c r="P32" i="6" s="1"/>
  <c r="R32" i="6" s="1"/>
  <c r="L47" i="2" s="1"/>
  <c r="S47" i="6"/>
  <c r="T45" i="6"/>
  <c r="P34" i="6" s="1"/>
  <c r="R34" i="6" s="1"/>
  <c r="J25" i="3" s="1"/>
  <c r="S45" i="6"/>
  <c r="P22" i="6"/>
  <c r="P21" i="6"/>
  <c r="R36" i="6"/>
  <c r="R33" i="6"/>
  <c r="I29" i="4" s="1"/>
  <c r="I50" i="2" l="1"/>
  <c r="C5" i="6" l="1"/>
  <c r="G28" i="3"/>
  <c r="H28" i="3" s="1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27" i="3"/>
  <c r="H27" i="3" s="1"/>
  <c r="D53" i="3" l="1"/>
  <c r="H55" i="3"/>
  <c r="H53" i="3" s="1"/>
  <c r="H56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F13" i="3" l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12" i="3"/>
  <c r="I80" i="2"/>
  <c r="X25" i="3" l="1"/>
  <c r="X26" i="3"/>
  <c r="X24" i="3"/>
  <c r="D8" i="4" l="1"/>
  <c r="E31" i="4"/>
  <c r="F31" i="4" s="1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G59" i="4" s="1"/>
  <c r="E30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G31" i="4" l="1"/>
  <c r="F54" i="4"/>
  <c r="G54" i="4" s="1"/>
  <c r="H54" i="4" s="1"/>
  <c r="F50" i="4"/>
  <c r="G50" i="4" s="1"/>
  <c r="H50" i="4" s="1"/>
  <c r="F46" i="4"/>
  <c r="G46" i="4" s="1"/>
  <c r="H46" i="4" s="1"/>
  <c r="F42" i="4"/>
  <c r="G42" i="4" s="1"/>
  <c r="H42" i="4" s="1"/>
  <c r="F38" i="4"/>
  <c r="G38" i="4" s="1"/>
  <c r="H38" i="4" s="1"/>
  <c r="F34" i="4"/>
  <c r="G34" i="4" s="1"/>
  <c r="H34" i="4" s="1"/>
  <c r="F53" i="4"/>
  <c r="G53" i="4" s="1"/>
  <c r="H53" i="4" s="1"/>
  <c r="F45" i="4"/>
  <c r="G45" i="4" s="1"/>
  <c r="H45" i="4" s="1"/>
  <c r="F41" i="4"/>
  <c r="G41" i="4" s="1"/>
  <c r="H41" i="4" s="1"/>
  <c r="F33" i="4"/>
  <c r="G33" i="4" s="1"/>
  <c r="H33" i="4" s="1"/>
  <c r="F56" i="4"/>
  <c r="G56" i="4" s="1"/>
  <c r="H56" i="4" s="1"/>
  <c r="F52" i="4"/>
  <c r="G52" i="4" s="1"/>
  <c r="H52" i="4" s="1"/>
  <c r="F48" i="4"/>
  <c r="G48" i="4" s="1"/>
  <c r="H48" i="4" s="1"/>
  <c r="F44" i="4"/>
  <c r="G44" i="4" s="1"/>
  <c r="H44" i="4" s="1"/>
  <c r="F40" i="4"/>
  <c r="G40" i="4" s="1"/>
  <c r="H40" i="4" s="1"/>
  <c r="F36" i="4"/>
  <c r="G36" i="4" s="1"/>
  <c r="H36" i="4" s="1"/>
  <c r="F32" i="4"/>
  <c r="G32" i="4" s="1"/>
  <c r="H32" i="4" s="1"/>
  <c r="F30" i="4"/>
  <c r="G30" i="4" s="1"/>
  <c r="H30" i="4" s="1"/>
  <c r="F49" i="4"/>
  <c r="G49" i="4" s="1"/>
  <c r="H49" i="4" s="1"/>
  <c r="F37" i="4"/>
  <c r="G37" i="4" s="1"/>
  <c r="H37" i="4" s="1"/>
  <c r="F55" i="4"/>
  <c r="G55" i="4" s="1"/>
  <c r="H55" i="4" s="1"/>
  <c r="F51" i="4"/>
  <c r="G51" i="4" s="1"/>
  <c r="H51" i="4" s="1"/>
  <c r="F47" i="4"/>
  <c r="G47" i="4" s="1"/>
  <c r="H47" i="4" s="1"/>
  <c r="F43" i="4"/>
  <c r="G43" i="4" s="1"/>
  <c r="H43" i="4" s="1"/>
  <c r="F39" i="4"/>
  <c r="G39" i="4" s="1"/>
  <c r="H39" i="4" s="1"/>
  <c r="F35" i="4"/>
  <c r="G35" i="4" s="1"/>
  <c r="H35" i="4" s="1"/>
  <c r="G26" i="3"/>
  <c r="H26" i="3" s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2" i="3"/>
  <c r="D26" i="3"/>
  <c r="W30" i="3" s="1"/>
  <c r="C26" i="3"/>
  <c r="K35" i="4" l="1"/>
  <c r="E10" i="6"/>
  <c r="K43" i="4"/>
  <c r="E18" i="6"/>
  <c r="K51" i="4"/>
  <c r="E26" i="6"/>
  <c r="K37" i="4"/>
  <c r="E12" i="6"/>
  <c r="K30" i="4"/>
  <c r="E5" i="6"/>
  <c r="K36" i="4"/>
  <c r="E11" i="6"/>
  <c r="K44" i="4"/>
  <c r="E19" i="6"/>
  <c r="K52" i="4"/>
  <c r="E27" i="6"/>
  <c r="K33" i="4"/>
  <c r="E8" i="6"/>
  <c r="K45" i="4"/>
  <c r="E20" i="6"/>
  <c r="K34" i="4"/>
  <c r="E9" i="6"/>
  <c r="K42" i="4"/>
  <c r="E17" i="6"/>
  <c r="K50" i="4"/>
  <c r="E25" i="6"/>
  <c r="X27" i="3"/>
  <c r="K39" i="4"/>
  <c r="E14" i="6"/>
  <c r="K47" i="4"/>
  <c r="E22" i="6"/>
  <c r="K55" i="4"/>
  <c r="E30" i="6"/>
  <c r="K49" i="4"/>
  <c r="E24" i="6"/>
  <c r="K32" i="4"/>
  <c r="E7" i="6"/>
  <c r="K40" i="4"/>
  <c r="E15" i="6"/>
  <c r="K48" i="4"/>
  <c r="E23" i="6"/>
  <c r="K56" i="4"/>
  <c r="E31" i="6"/>
  <c r="O21" i="6" s="1"/>
  <c r="K41" i="4"/>
  <c r="E16" i="6"/>
  <c r="K53" i="4"/>
  <c r="E28" i="6"/>
  <c r="K38" i="4"/>
  <c r="E13" i="6"/>
  <c r="K46" i="4"/>
  <c r="E21" i="6"/>
  <c r="K54" i="4"/>
  <c r="E29" i="6"/>
  <c r="H31" i="4"/>
  <c r="I31" i="4"/>
  <c r="I49" i="4"/>
  <c r="J49" i="4"/>
  <c r="I40" i="4"/>
  <c r="J40" i="4"/>
  <c r="I56" i="4"/>
  <c r="J56" i="4"/>
  <c r="J46" i="4"/>
  <c r="I46" i="4"/>
  <c r="I35" i="4"/>
  <c r="J35" i="4"/>
  <c r="I51" i="4"/>
  <c r="J51" i="4"/>
  <c r="J30" i="4"/>
  <c r="I30" i="4"/>
  <c r="I44" i="4"/>
  <c r="J44" i="4"/>
  <c r="I33" i="4"/>
  <c r="J33" i="4"/>
  <c r="J34" i="4"/>
  <c r="I34" i="4"/>
  <c r="I50" i="4"/>
  <c r="J50" i="4"/>
  <c r="I39" i="4"/>
  <c r="J39" i="4"/>
  <c r="I55" i="4"/>
  <c r="J55" i="4"/>
  <c r="I32" i="4"/>
  <c r="J32" i="4"/>
  <c r="I48" i="4"/>
  <c r="J48" i="4"/>
  <c r="I41" i="4"/>
  <c r="J41" i="4"/>
  <c r="J38" i="4"/>
  <c r="I38" i="4"/>
  <c r="J54" i="4"/>
  <c r="I54" i="4"/>
  <c r="I43" i="4"/>
  <c r="J43" i="4"/>
  <c r="I37" i="4"/>
  <c r="J37" i="4"/>
  <c r="I36" i="4"/>
  <c r="J36" i="4"/>
  <c r="I52" i="4"/>
  <c r="J52" i="4"/>
  <c r="I45" i="4"/>
  <c r="J45" i="4"/>
  <c r="J42" i="4"/>
  <c r="I42" i="4"/>
  <c r="I47" i="4"/>
  <c r="J47" i="4"/>
  <c r="I53" i="4"/>
  <c r="J53" i="4"/>
  <c r="I26" i="3"/>
  <c r="L26" i="3" s="1"/>
  <c r="E26" i="3"/>
  <c r="E6" i="6" l="1"/>
  <c r="E33" i="6" s="1"/>
  <c r="Q9" i="6" s="1"/>
  <c r="K31" i="4"/>
  <c r="J31" i="4"/>
  <c r="H58" i="4"/>
  <c r="Q21" i="6"/>
  <c r="M31" i="4"/>
  <c r="J6" i="6" s="1"/>
  <c r="I53" i="3"/>
  <c r="K26" i="3"/>
  <c r="J26" i="3"/>
  <c r="M47" i="4"/>
  <c r="J22" i="6" s="1"/>
  <c r="M45" i="4"/>
  <c r="J20" i="6" s="1"/>
  <c r="M38" i="4"/>
  <c r="J13" i="6" s="1"/>
  <c r="M48" i="4"/>
  <c r="J23" i="6" s="1"/>
  <c r="M39" i="4"/>
  <c r="J14" i="6" s="1"/>
  <c r="M50" i="4"/>
  <c r="J25" i="6" s="1"/>
  <c r="M56" i="4"/>
  <c r="J31" i="6" s="1"/>
  <c r="M54" i="4"/>
  <c r="J29" i="6" s="1"/>
  <c r="M34" i="4"/>
  <c r="J9" i="6" s="1"/>
  <c r="M53" i="4"/>
  <c r="J28" i="6" s="1"/>
  <c r="M36" i="4"/>
  <c r="J11" i="6" s="1"/>
  <c r="M33" i="4"/>
  <c r="J8" i="6" s="1"/>
  <c r="M30" i="4"/>
  <c r="J5" i="6" s="1"/>
  <c r="M51" i="4"/>
  <c r="J26" i="6" s="1"/>
  <c r="M49" i="4"/>
  <c r="J24" i="6" s="1"/>
  <c r="M42" i="4"/>
  <c r="J17" i="6" s="1"/>
  <c r="M52" i="4"/>
  <c r="J27" i="6" s="1"/>
  <c r="M43" i="4"/>
  <c r="J18" i="6" s="1"/>
  <c r="M32" i="4"/>
  <c r="J7" i="6" s="1"/>
  <c r="M46" i="4"/>
  <c r="J21" i="6" s="1"/>
  <c r="M40" i="4"/>
  <c r="J15" i="6" s="1"/>
  <c r="M37" i="4"/>
  <c r="J12" i="6" s="1"/>
  <c r="M41" i="4"/>
  <c r="J16" i="6" s="1"/>
  <c r="M55" i="4"/>
  <c r="J30" i="6" s="1"/>
  <c r="M44" i="4"/>
  <c r="J19" i="6" s="1"/>
  <c r="M35" i="4"/>
  <c r="J10" i="6" s="1"/>
  <c r="J53" i="3"/>
  <c r="K53" i="3"/>
  <c r="D31" i="6" l="1"/>
  <c r="O22" i="6" s="1"/>
  <c r="L53" i="3"/>
  <c r="N26" i="3"/>
  <c r="N53" i="3"/>
  <c r="J33" i="6"/>
  <c r="R9" i="6" s="1"/>
  <c r="M58" i="4"/>
  <c r="I31" i="6" l="1"/>
  <c r="O53" i="3"/>
  <c r="I51" i="2" l="1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F53" i="2"/>
  <c r="E49" i="2"/>
  <c r="F49" i="2" s="1"/>
  <c r="E50" i="2"/>
  <c r="F50" i="2" s="1"/>
  <c r="E51" i="2"/>
  <c r="F51" i="2" s="1"/>
  <c r="E52" i="2"/>
  <c r="F52" i="2" s="1"/>
  <c r="E53" i="2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J76" i="2" s="1"/>
  <c r="E48" i="2"/>
  <c r="F48" i="2" s="1"/>
  <c r="G42" i="2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29" i="1"/>
  <c r="L47" i="1"/>
  <c r="L48" i="1"/>
  <c r="L50" i="1" s="1"/>
  <c r="L49" i="1"/>
  <c r="J49" i="2" l="1"/>
  <c r="I49" i="2"/>
  <c r="K49" i="2"/>
  <c r="N49" i="2" s="1"/>
  <c r="J56" i="2"/>
  <c r="K56" i="2" s="1"/>
  <c r="J52" i="2"/>
  <c r="K52" i="2" s="1"/>
  <c r="J51" i="2"/>
  <c r="K51" i="2" s="1"/>
  <c r="J59" i="2"/>
  <c r="K59" i="2" s="1"/>
  <c r="J55" i="2"/>
  <c r="K55" i="2" s="1"/>
  <c r="J58" i="2"/>
  <c r="K58" i="2" s="1"/>
  <c r="J54" i="2"/>
  <c r="K54" i="2" s="1"/>
  <c r="J50" i="2"/>
  <c r="K50" i="2" s="1"/>
  <c r="J57" i="2"/>
  <c r="K57" i="2" s="1"/>
  <c r="J53" i="2"/>
  <c r="K53" i="2" s="1"/>
  <c r="G39" i="2"/>
  <c r="H39" i="2" s="1"/>
  <c r="G46" i="2"/>
  <c r="H21" i="2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40" i="2"/>
  <c r="H40" i="2" s="1"/>
  <c r="G43" i="2"/>
  <c r="G44" i="2"/>
  <c r="G45" i="2"/>
  <c r="G47" i="2"/>
  <c r="G41" i="2"/>
  <c r="H41" i="2" s="1"/>
  <c r="Q30" i="1"/>
  <c r="T30" i="1" s="1"/>
  <c r="Q31" i="1"/>
  <c r="T31" i="1" s="1"/>
  <c r="Q32" i="1"/>
  <c r="T32" i="1" s="1"/>
  <c r="Q33" i="1"/>
  <c r="T33" i="1" s="1"/>
  <c r="Q34" i="1"/>
  <c r="T34" i="1" s="1"/>
  <c r="Q35" i="1"/>
  <c r="T35" i="1" s="1"/>
  <c r="Q36" i="1"/>
  <c r="T36" i="1" s="1"/>
  <c r="Q37" i="1"/>
  <c r="T37" i="1" s="1"/>
  <c r="Q38" i="1"/>
  <c r="T38" i="1" s="1"/>
  <c r="Q39" i="1"/>
  <c r="T39" i="1" s="1"/>
  <c r="Q40" i="1"/>
  <c r="T40" i="1" s="1"/>
  <c r="Q41" i="1"/>
  <c r="T41" i="1" s="1"/>
  <c r="Q29" i="1"/>
  <c r="J43" i="1"/>
  <c r="P43" i="1"/>
  <c r="O43" i="1"/>
  <c r="K43" i="1"/>
  <c r="N43" i="1"/>
  <c r="N42" i="1"/>
  <c r="M43" i="1"/>
  <c r="C10" i="6" l="1"/>
  <c r="N53" i="2"/>
  <c r="C7" i="6"/>
  <c r="N50" i="2"/>
  <c r="C15" i="6"/>
  <c r="N58" i="2"/>
  <c r="C16" i="6"/>
  <c r="N59" i="2"/>
  <c r="C9" i="6"/>
  <c r="N52" i="2"/>
  <c r="C14" i="6"/>
  <c r="N57" i="2"/>
  <c r="C11" i="6"/>
  <c r="N54" i="2"/>
  <c r="C12" i="6"/>
  <c r="N55" i="2"/>
  <c r="C8" i="6"/>
  <c r="N51" i="2"/>
  <c r="C13" i="6"/>
  <c r="N56" i="2"/>
  <c r="C6" i="6"/>
  <c r="L49" i="2"/>
  <c r="E43" i="2"/>
  <c r="H43" i="2" s="1"/>
  <c r="E42" i="2"/>
  <c r="H42" i="2" s="1"/>
  <c r="E44" i="2"/>
  <c r="H44" i="2" s="1"/>
  <c r="J48" i="1"/>
  <c r="S43" i="1"/>
  <c r="J47" i="1"/>
  <c r="J49" i="1"/>
  <c r="K47" i="1"/>
  <c r="K49" i="1"/>
  <c r="K48" i="1"/>
  <c r="T29" i="1"/>
  <c r="Q48" i="1"/>
  <c r="E47" i="2"/>
  <c r="H47" i="2" s="1"/>
  <c r="E46" i="2"/>
  <c r="H46" i="2" s="1"/>
  <c r="M47" i="1"/>
  <c r="M49" i="1"/>
  <c r="M50" i="1" s="1"/>
  <c r="M48" i="1"/>
  <c r="O47" i="1"/>
  <c r="O49" i="1"/>
  <c r="O48" i="1"/>
  <c r="O50" i="1" s="1"/>
  <c r="Q43" i="1"/>
  <c r="T43" i="1" s="1"/>
  <c r="E45" i="2"/>
  <c r="H45" i="2" s="1"/>
  <c r="N48" i="1"/>
  <c r="N47" i="1"/>
  <c r="N49" i="1"/>
  <c r="P49" i="1"/>
  <c r="P48" i="1"/>
  <c r="P47" i="1"/>
  <c r="Q42" i="1"/>
  <c r="T42" i="1" s="1"/>
  <c r="L57" i="2"/>
  <c r="M57" i="2"/>
  <c r="L50" i="2"/>
  <c r="M50" i="2"/>
  <c r="L59" i="2"/>
  <c r="M59" i="2"/>
  <c r="L54" i="2"/>
  <c r="M54" i="2"/>
  <c r="L51" i="2"/>
  <c r="M51" i="2"/>
  <c r="L53" i="2"/>
  <c r="M53" i="2"/>
  <c r="L58" i="2"/>
  <c r="M58" i="2"/>
  <c r="L52" i="2"/>
  <c r="M52" i="2"/>
  <c r="L56" i="2"/>
  <c r="M56" i="2"/>
  <c r="L55" i="2"/>
  <c r="M55" i="2"/>
  <c r="J60" i="2"/>
  <c r="K60" i="2" s="1"/>
  <c r="C17" i="6" l="1"/>
  <c r="N60" i="2"/>
  <c r="P50" i="1"/>
  <c r="N50" i="1"/>
  <c r="Q49" i="1"/>
  <c r="K50" i="1"/>
  <c r="J50" i="1"/>
  <c r="P50" i="2"/>
  <c r="Q50" i="1"/>
  <c r="M49" i="2"/>
  <c r="Q47" i="1"/>
  <c r="P58" i="2"/>
  <c r="L60" i="2"/>
  <c r="M60" i="2"/>
  <c r="P52" i="2"/>
  <c r="P53" i="2"/>
  <c r="P57" i="2"/>
  <c r="P56" i="2"/>
  <c r="P55" i="2"/>
  <c r="P51" i="2"/>
  <c r="P54" i="2"/>
  <c r="J61" i="2"/>
  <c r="K61" i="2" s="1"/>
  <c r="C18" i="6" l="1"/>
  <c r="N61" i="2"/>
  <c r="P49" i="2"/>
  <c r="H6" i="6" s="1"/>
  <c r="Q57" i="2"/>
  <c r="H14" i="6"/>
  <c r="P48" i="2"/>
  <c r="Q51" i="2"/>
  <c r="H8" i="6"/>
  <c r="Q55" i="2"/>
  <c r="H12" i="6"/>
  <c r="Q53" i="2"/>
  <c r="H10" i="6"/>
  <c r="Q50" i="2"/>
  <c r="H7" i="6"/>
  <c r="Q54" i="2"/>
  <c r="H11" i="6"/>
  <c r="Q56" i="2"/>
  <c r="H13" i="6"/>
  <c r="Q52" i="2"/>
  <c r="H9" i="6"/>
  <c r="Q58" i="2"/>
  <c r="H15" i="6"/>
  <c r="L61" i="2"/>
  <c r="M61" i="2"/>
  <c r="P59" i="2"/>
  <c r="J62" i="2"/>
  <c r="K62" i="2" s="1"/>
  <c r="C19" i="6" l="1"/>
  <c r="N62" i="2"/>
  <c r="Q49" i="2"/>
  <c r="Q59" i="2"/>
  <c r="H16" i="6"/>
  <c r="Q48" i="2"/>
  <c r="H5" i="6"/>
  <c r="L62" i="2"/>
  <c r="M62" i="2"/>
  <c r="P60" i="2"/>
  <c r="J63" i="2"/>
  <c r="K63" i="2" s="1"/>
  <c r="C20" i="6" l="1"/>
  <c r="N63" i="2"/>
  <c r="Q60" i="2"/>
  <c r="H17" i="6"/>
  <c r="P61" i="2"/>
  <c r="L63" i="2"/>
  <c r="M63" i="2"/>
  <c r="J64" i="2"/>
  <c r="K64" i="2" s="1"/>
  <c r="C21" i="6" l="1"/>
  <c r="N64" i="2"/>
  <c r="Q61" i="2"/>
  <c r="H18" i="6"/>
  <c r="P62" i="2"/>
  <c r="L64" i="2"/>
  <c r="M64" i="2"/>
  <c r="J65" i="2"/>
  <c r="K65" i="2" s="1"/>
  <c r="C22" i="6" l="1"/>
  <c r="N65" i="2"/>
  <c r="Q62" i="2"/>
  <c r="H19" i="6"/>
  <c r="P63" i="2"/>
  <c r="L65" i="2"/>
  <c r="M65" i="2"/>
  <c r="J66" i="2"/>
  <c r="K66" i="2" s="1"/>
  <c r="C23" i="6" l="1"/>
  <c r="N66" i="2"/>
  <c r="Q63" i="2"/>
  <c r="H20" i="6"/>
  <c r="P64" i="2"/>
  <c r="L66" i="2"/>
  <c r="M66" i="2"/>
  <c r="J67" i="2"/>
  <c r="K67" i="2" s="1"/>
  <c r="C24" i="6" l="1"/>
  <c r="N67" i="2"/>
  <c r="Q64" i="2"/>
  <c r="H21" i="6"/>
  <c r="P65" i="2"/>
  <c r="L67" i="2"/>
  <c r="M67" i="2"/>
  <c r="J68" i="2"/>
  <c r="K68" i="2" s="1"/>
  <c r="C25" i="6" l="1"/>
  <c r="N68" i="2"/>
  <c r="Q65" i="2"/>
  <c r="H22" i="6"/>
  <c r="P66" i="2"/>
  <c r="L68" i="2"/>
  <c r="M68" i="2"/>
  <c r="J69" i="2"/>
  <c r="K69" i="2" s="1"/>
  <c r="C26" i="6" l="1"/>
  <c r="N69" i="2"/>
  <c r="Q66" i="2"/>
  <c r="H23" i="6"/>
  <c r="P67" i="2"/>
  <c r="L69" i="2"/>
  <c r="M69" i="2"/>
  <c r="J70" i="2"/>
  <c r="K70" i="2" s="1"/>
  <c r="C27" i="6" l="1"/>
  <c r="N70" i="2"/>
  <c r="Q67" i="2"/>
  <c r="H24" i="6"/>
  <c r="P68" i="2"/>
  <c r="L70" i="2"/>
  <c r="M70" i="2"/>
  <c r="J71" i="2"/>
  <c r="K71" i="2" s="1"/>
  <c r="C28" i="6" l="1"/>
  <c r="N71" i="2"/>
  <c r="Q68" i="2"/>
  <c r="H25" i="6"/>
  <c r="P69" i="2"/>
  <c r="L71" i="2"/>
  <c r="M71" i="2"/>
  <c r="J72" i="2"/>
  <c r="K72" i="2" s="1"/>
  <c r="C29" i="6" l="1"/>
  <c r="N72" i="2"/>
  <c r="Q69" i="2"/>
  <c r="H26" i="6"/>
  <c r="P70" i="2"/>
  <c r="L72" i="2"/>
  <c r="M72" i="2"/>
  <c r="J74" i="2"/>
  <c r="K74" i="2" s="1"/>
  <c r="J73" i="2"/>
  <c r="K73" i="2" s="1"/>
  <c r="C30" i="6" l="1"/>
  <c r="N73" i="2"/>
  <c r="C31" i="6"/>
  <c r="F31" i="6" s="1"/>
  <c r="N74" i="2"/>
  <c r="O20" i="6"/>
  <c r="C33" i="6"/>
  <c r="K76" i="2"/>
  <c r="Q70" i="2"/>
  <c r="H27" i="6"/>
  <c r="L74" i="2"/>
  <c r="P74" i="2" s="1"/>
  <c r="M74" i="2"/>
  <c r="L73" i="2"/>
  <c r="M73" i="2"/>
  <c r="P71" i="2"/>
  <c r="H31" i="6" l="1"/>
  <c r="K31" i="6" s="1"/>
  <c r="L31" i="6" s="1"/>
  <c r="Q74" i="2"/>
  <c r="Q20" i="6"/>
  <c r="Q7" i="6"/>
  <c r="L76" i="2"/>
  <c r="Q71" i="2"/>
  <c r="H28" i="6"/>
  <c r="M76" i="2"/>
  <c r="N76" i="2"/>
  <c r="P73" i="2"/>
  <c r="H30" i="6" s="1"/>
  <c r="P72" i="2"/>
  <c r="Q72" i="2" l="1"/>
  <c r="H29" i="6"/>
  <c r="H33" i="6" s="1"/>
  <c r="R7" i="6" s="1"/>
  <c r="P76" i="2"/>
  <c r="Q73" i="2"/>
  <c r="Q76" i="2" l="1"/>
  <c r="I27" i="3" l="1"/>
  <c r="L27" i="3" s="1"/>
  <c r="K27" i="3" l="1"/>
  <c r="J27" i="3"/>
  <c r="D5" i="6"/>
  <c r="F5" i="6" s="1"/>
  <c r="N27" i="3" l="1"/>
  <c r="O27" i="3" s="1"/>
  <c r="I5" i="6"/>
  <c r="K5" i="6" l="1"/>
  <c r="L5" i="6" l="1"/>
  <c r="I28" i="3"/>
  <c r="L28" i="3" s="1"/>
  <c r="K28" i="3" l="1"/>
  <c r="J28" i="3"/>
  <c r="D6" i="6"/>
  <c r="F6" i="6" s="1"/>
  <c r="N28" i="3" l="1"/>
  <c r="O28" i="3" s="1"/>
  <c r="I29" i="3"/>
  <c r="L29" i="3" s="1"/>
  <c r="I6" i="6" l="1"/>
  <c r="K6" i="6" s="1"/>
  <c r="J29" i="3"/>
  <c r="K29" i="3"/>
  <c r="D7" i="6"/>
  <c r="F7" i="6" s="1"/>
  <c r="I30" i="3"/>
  <c r="L30" i="3" s="1"/>
  <c r="D8" i="6" l="1"/>
  <c r="F8" i="6" s="1"/>
  <c r="K30" i="3"/>
  <c r="J30" i="3"/>
  <c r="N29" i="3"/>
  <c r="I31" i="3"/>
  <c r="L31" i="3" s="1"/>
  <c r="L6" i="6"/>
  <c r="N30" i="3" l="1"/>
  <c r="I8" i="6" s="1"/>
  <c r="K8" i="6" s="1"/>
  <c r="L8" i="6" s="1"/>
  <c r="O29" i="3"/>
  <c r="I7" i="6"/>
  <c r="I32" i="3"/>
  <c r="L32" i="3" s="1"/>
  <c r="D9" i="6"/>
  <c r="F9" i="6" s="1"/>
  <c r="J31" i="3"/>
  <c r="K31" i="3"/>
  <c r="O30" i="3" l="1"/>
  <c r="N31" i="3"/>
  <c r="K32" i="3"/>
  <c r="D10" i="6"/>
  <c r="F10" i="6" s="1"/>
  <c r="J32" i="3"/>
  <c r="I33" i="3"/>
  <c r="L33" i="3" s="1"/>
  <c r="K7" i="6"/>
  <c r="N32" i="3" l="1"/>
  <c r="I10" i="6" s="1"/>
  <c r="K10" i="6" s="1"/>
  <c r="L10" i="6" s="1"/>
  <c r="I34" i="3"/>
  <c r="L34" i="3" s="1"/>
  <c r="L7" i="6"/>
  <c r="D11" i="6"/>
  <c r="F11" i="6" s="1"/>
  <c r="K33" i="3"/>
  <c r="J33" i="3"/>
  <c r="O31" i="3"/>
  <c r="I9" i="6"/>
  <c r="O32" i="3" l="1"/>
  <c r="N33" i="3"/>
  <c r="O33" i="3" s="1"/>
  <c r="I35" i="3"/>
  <c r="L35" i="3" s="1"/>
  <c r="K9" i="6"/>
  <c r="K34" i="3"/>
  <c r="D12" i="6"/>
  <c r="F12" i="6" s="1"/>
  <c r="J34" i="3"/>
  <c r="I11" i="6" l="1"/>
  <c r="K11" i="6" s="1"/>
  <c r="L11" i="6" s="1"/>
  <c r="N34" i="3"/>
  <c r="O34" i="3" s="1"/>
  <c r="K35" i="3"/>
  <c r="J35" i="3"/>
  <c r="D13" i="6"/>
  <c r="F13" i="6" s="1"/>
  <c r="L9" i="6"/>
  <c r="I36" i="3"/>
  <c r="L36" i="3" s="1"/>
  <c r="I12" i="6" l="1"/>
  <c r="K12" i="6" s="1"/>
  <c r="L12" i="6" s="1"/>
  <c r="N35" i="3"/>
  <c r="O35" i="3" s="1"/>
  <c r="K36" i="3"/>
  <c r="D14" i="6"/>
  <c r="F14" i="6" s="1"/>
  <c r="J36" i="3"/>
  <c r="I37" i="3"/>
  <c r="L37" i="3" s="1"/>
  <c r="I13" i="6" l="1"/>
  <c r="K13" i="6" s="1"/>
  <c r="L13" i="6" s="1"/>
  <c r="I38" i="3"/>
  <c r="L38" i="3" s="1"/>
  <c r="N36" i="3"/>
  <c r="K37" i="3"/>
  <c r="J37" i="3"/>
  <c r="D15" i="6"/>
  <c r="F15" i="6" s="1"/>
  <c r="O36" i="3" l="1"/>
  <c r="I14" i="6"/>
  <c r="K14" i="6" s="1"/>
  <c r="L14" i="6" s="1"/>
  <c r="D16" i="6"/>
  <c r="F16" i="6" s="1"/>
  <c r="J38" i="3"/>
  <c r="K38" i="3"/>
  <c r="N37" i="3"/>
  <c r="I39" i="3"/>
  <c r="L39" i="3" s="1"/>
  <c r="N38" i="3" l="1"/>
  <c r="I40" i="3"/>
  <c r="L40" i="3" s="1"/>
  <c r="I15" i="6"/>
  <c r="K15" i="6" s="1"/>
  <c r="L15" i="6" s="1"/>
  <c r="O37" i="3"/>
  <c r="J39" i="3"/>
  <c r="D17" i="6"/>
  <c r="F17" i="6" s="1"/>
  <c r="K39" i="3"/>
  <c r="N39" i="3" l="1"/>
  <c r="O39" i="3" s="1"/>
  <c r="J40" i="3"/>
  <c r="D18" i="6"/>
  <c r="F18" i="6" s="1"/>
  <c r="K40" i="3"/>
  <c r="I16" i="6"/>
  <c r="K16" i="6" s="1"/>
  <c r="L16" i="6" s="1"/>
  <c r="O38" i="3"/>
  <c r="I41" i="3"/>
  <c r="L41" i="3" s="1"/>
  <c r="I17" i="6" l="1"/>
  <c r="K17" i="6" s="1"/>
  <c r="L17" i="6" s="1"/>
  <c r="K41" i="3"/>
  <c r="J41" i="3"/>
  <c r="D19" i="6"/>
  <c r="F19" i="6" s="1"/>
  <c r="I42" i="3"/>
  <c r="L42" i="3" s="1"/>
  <c r="N40" i="3"/>
  <c r="N41" i="3" l="1"/>
  <c r="O41" i="3" s="1"/>
  <c r="D20" i="6"/>
  <c r="F20" i="6" s="1"/>
  <c r="K42" i="3"/>
  <c r="J42" i="3"/>
  <c r="I43" i="3"/>
  <c r="L43" i="3" s="1"/>
  <c r="I18" i="6"/>
  <c r="K18" i="6" s="1"/>
  <c r="L18" i="6" s="1"/>
  <c r="O40" i="3"/>
  <c r="I19" i="6" l="1"/>
  <c r="K19" i="6" s="1"/>
  <c r="L19" i="6" s="1"/>
  <c r="N42" i="3"/>
  <c r="I44" i="3"/>
  <c r="L44" i="3" s="1"/>
  <c r="K43" i="3"/>
  <c r="J43" i="3"/>
  <c r="D21" i="6"/>
  <c r="F21" i="6" s="1"/>
  <c r="N43" i="3" l="1"/>
  <c r="O42" i="3"/>
  <c r="I20" i="6"/>
  <c r="K20" i="6" s="1"/>
  <c r="L20" i="6" s="1"/>
  <c r="I45" i="3"/>
  <c r="L45" i="3" s="1"/>
  <c r="D22" i="6"/>
  <c r="F22" i="6" s="1"/>
  <c r="J44" i="3"/>
  <c r="K44" i="3"/>
  <c r="O43" i="3" l="1"/>
  <c r="I21" i="6"/>
  <c r="K21" i="6" s="1"/>
  <c r="L21" i="6" s="1"/>
  <c r="D23" i="6"/>
  <c r="F23" i="6" s="1"/>
  <c r="J45" i="3"/>
  <c r="K45" i="3"/>
  <c r="I46" i="3"/>
  <c r="L46" i="3" s="1"/>
  <c r="N44" i="3"/>
  <c r="I22" i="6" l="1"/>
  <c r="K22" i="6" s="1"/>
  <c r="L22" i="6" s="1"/>
  <c r="O44" i="3"/>
  <c r="I47" i="3"/>
  <c r="L47" i="3" s="1"/>
  <c r="N45" i="3"/>
  <c r="D24" i="6"/>
  <c r="F24" i="6" s="1"/>
  <c r="J46" i="3"/>
  <c r="K46" i="3"/>
  <c r="K47" i="3" l="1"/>
  <c r="J47" i="3"/>
  <c r="D25" i="6"/>
  <c r="F25" i="6" s="1"/>
  <c r="I23" i="6"/>
  <c r="K23" i="6" s="1"/>
  <c r="L23" i="6" s="1"/>
  <c r="O45" i="3"/>
  <c r="N46" i="3"/>
  <c r="I48" i="3"/>
  <c r="L48" i="3" s="1"/>
  <c r="I49" i="3" l="1"/>
  <c r="L49" i="3" s="1"/>
  <c r="D26" i="6"/>
  <c r="F26" i="6" s="1"/>
  <c r="K48" i="3"/>
  <c r="J48" i="3"/>
  <c r="O46" i="3"/>
  <c r="I24" i="6"/>
  <c r="K24" i="6" s="1"/>
  <c r="L24" i="6" s="1"/>
  <c r="N47" i="3"/>
  <c r="I50" i="3" l="1"/>
  <c r="L50" i="3" s="1"/>
  <c r="O47" i="3"/>
  <c r="I25" i="6"/>
  <c r="K25" i="6" s="1"/>
  <c r="L25" i="6" s="1"/>
  <c r="N48" i="3"/>
  <c r="K49" i="3"/>
  <c r="D27" i="6"/>
  <c r="F27" i="6" s="1"/>
  <c r="J49" i="3"/>
  <c r="J50" i="3" l="1"/>
  <c r="D28" i="6"/>
  <c r="F28" i="6" s="1"/>
  <c r="K50" i="3"/>
  <c r="N49" i="3"/>
  <c r="I26" i="6"/>
  <c r="K26" i="6" s="1"/>
  <c r="L26" i="6" s="1"/>
  <c r="O48" i="3"/>
  <c r="I51" i="3"/>
  <c r="L51" i="3" s="1"/>
  <c r="I52" i="3"/>
  <c r="L52" i="3" s="1"/>
  <c r="I55" i="3" l="1"/>
  <c r="K51" i="3"/>
  <c r="J51" i="3"/>
  <c r="D29" i="6"/>
  <c r="F29" i="6" s="1"/>
  <c r="D30" i="6"/>
  <c r="F30" i="6" s="1"/>
  <c r="K52" i="3"/>
  <c r="J52" i="3"/>
  <c r="O49" i="3"/>
  <c r="I27" i="6"/>
  <c r="K27" i="6" s="1"/>
  <c r="L27" i="6" s="1"/>
  <c r="N50" i="3"/>
  <c r="N51" i="3" l="1"/>
  <c r="O51" i="3" s="1"/>
  <c r="N52" i="3"/>
  <c r="O52" i="3" s="1"/>
  <c r="O50" i="3"/>
  <c r="I28" i="6"/>
  <c r="K28" i="6" s="1"/>
  <c r="L28" i="6" s="1"/>
  <c r="I29" i="6"/>
  <c r="K29" i="6" s="1"/>
  <c r="L29" i="6" s="1"/>
  <c r="F33" i="6"/>
  <c r="D33" i="6"/>
  <c r="I30" i="6" l="1"/>
  <c r="I33" i="6" s="1"/>
  <c r="R8" i="6" s="1"/>
  <c r="R10" i="6" s="1"/>
  <c r="N55" i="3"/>
  <c r="Q22" i="6"/>
  <c r="Q8" i="6"/>
  <c r="K30" i="6"/>
  <c r="O55" i="3"/>
  <c r="L30" i="6" l="1"/>
  <c r="L33" i="6" s="1"/>
  <c r="R13" i="6" s="1"/>
  <c r="K33" i="6"/>
</calcChain>
</file>

<file path=xl/sharedStrings.xml><?xml version="1.0" encoding="utf-8"?>
<sst xmlns="http://schemas.openxmlformats.org/spreadsheetml/2006/main" count="218" uniqueCount="144">
  <si>
    <t xml:space="preserve">Enfermedades Infecciosas Intestinales </t>
  </si>
  <si>
    <t xml:space="preserve">Shigelosis </t>
  </si>
  <si>
    <t xml:space="preserve">Fiebre Tifoidea </t>
  </si>
  <si>
    <t xml:space="preserve">Paratifoidea y otras Salmonelosis </t>
  </si>
  <si>
    <t xml:space="preserve">Infección intestinal, debida a Virus y otros organismos y las mal definidas </t>
  </si>
  <si>
    <t xml:space="preserve">Intoxicación alimentaria Bacteriana </t>
  </si>
  <si>
    <t>Cuadro 3.7. Casos registrados de enfermedades infecciosas del aparato digestivo, 2005</t>
  </si>
  <si>
    <t>Fuente: Boletín Epidemiológico (Semana 52 de 2005), editado por el Sistema Único de Información para la Vigilancia Epidemiológica de la Secretaría de Salud.</t>
  </si>
  <si>
    <t>(Información preliminar)</t>
  </si>
  <si>
    <t>* El número de casos por tipo de enfermedad no coincide con los reportados en la edición 2004, debido a que la Secretaría de Salud realizó ajustes a su</t>
  </si>
  <si>
    <t>información preliminar</t>
  </si>
  <si>
    <t>-</t>
  </si>
  <si>
    <t>Cólera</t>
  </si>
  <si>
    <t xml:space="preserve">Infección intestinal, por Virus, otros organismos y mal definidas </t>
  </si>
  <si>
    <t>Fuente: Secretaria de Salud. Boletín Epidemiológico, editado por el Sistema Único de Información para la Vigilancia Epidemiológica de la Secretaría de Salud.</t>
  </si>
  <si>
    <t>(Semana 52 del 2013, Información preliminar)</t>
  </si>
  <si>
    <t>Escabiosis</t>
  </si>
  <si>
    <t>Año</t>
  </si>
  <si>
    <t>Casos</t>
  </si>
  <si>
    <t xml:space="preserve">Evolución de los casos nuevos notificados de </t>
  </si>
  <si>
    <t xml:space="preserve">México, 1990- 2010 </t>
  </si>
  <si>
    <r>
      <t>1/</t>
    </r>
    <r>
      <rPr>
        <sz val="8.5"/>
        <color theme="1"/>
        <rFont val="Arial"/>
        <family val="2"/>
      </rPr>
      <t xml:space="preserve">Tasas de incidencia por 100 000 habitantes. </t>
    </r>
  </si>
  <si>
    <t xml:space="preserve">Fuente: DGE, Series monográficas, Perfiles estadísticos No. 1 (1980-1989)/DGIS. </t>
  </si>
  <si>
    <t xml:space="preserve">Boletín de Información Estadística. Anuarios de Información Epidemiológica, 1990-1994/DGAE. </t>
  </si>
  <si>
    <t>1995-2010 Sistema Nacional de Vigilancia Epidemiológica/Dirección General de Epidemiología/SALUD</t>
  </si>
  <si>
    <t>Promedios</t>
  </si>
  <si>
    <t>Maximos</t>
  </si>
  <si>
    <t>Mínimos</t>
  </si>
  <si>
    <t>Rango</t>
  </si>
  <si>
    <t>2016a/</t>
  </si>
  <si>
    <t>a/ dato preliminar</t>
  </si>
  <si>
    <t>Población</t>
  </si>
  <si>
    <t>Tasa</t>
  </si>
  <si>
    <t>Subtotal</t>
  </si>
  <si>
    <t xml:space="preserve">       Tasa de incidencia</t>
  </si>
  <si>
    <t>Suma de Shingelosis a Intoxicación alimentari</t>
  </si>
  <si>
    <t>Enfermedades infecciosas intestinales</t>
  </si>
  <si>
    <t>EDAS</t>
  </si>
  <si>
    <r>
      <t>Tasa</t>
    </r>
    <r>
      <rPr>
        <vertAlign val="superscript"/>
        <sz val="10"/>
        <color theme="1"/>
        <rFont val="Arial"/>
        <family val="2"/>
      </rPr>
      <t>1/</t>
    </r>
  </si>
  <si>
    <t>Enfermedades Diarreicas Agudas (EDAS)</t>
  </si>
  <si>
    <t>Población (CONAPO)</t>
  </si>
  <si>
    <t>Beneficio</t>
  </si>
  <si>
    <t xml:space="preserve">por cada </t>
  </si>
  <si>
    <t>Beneficio ($)</t>
  </si>
  <si>
    <t>VP</t>
  </si>
  <si>
    <t>Gastos médicos</t>
  </si>
  <si>
    <t>Medicinas</t>
  </si>
  <si>
    <t>Total</t>
  </si>
  <si>
    <t>Días no laborados</t>
  </si>
  <si>
    <t>dias</t>
  </si>
  <si>
    <t>b =</t>
  </si>
  <si>
    <t>a =</t>
  </si>
  <si>
    <t>Proporción atribuible a aguas residuales</t>
  </si>
  <si>
    <r>
      <t>y=b</t>
    </r>
    <r>
      <rPr>
        <b/>
        <sz val="11"/>
        <color rgb="FF0000CC"/>
        <rFont val="Calibri"/>
        <family val="2"/>
        <scheme val="minor"/>
      </rPr>
      <t>e</t>
    </r>
    <r>
      <rPr>
        <vertAlign val="superscript"/>
        <sz val="11"/>
        <color rgb="FF0000CC"/>
        <rFont val="Calibri"/>
        <family val="2"/>
        <scheme val="minor"/>
      </rPr>
      <t>-ax</t>
    </r>
  </si>
  <si>
    <t>Proyección</t>
  </si>
  <si>
    <t>INEGI</t>
  </si>
  <si>
    <t>Escabiasis</t>
  </si>
  <si>
    <t>Tasa de incidencia</t>
  </si>
  <si>
    <t>Incremento</t>
  </si>
  <si>
    <t>Población beneficiada</t>
  </si>
  <si>
    <t>Tasa de beneficio</t>
  </si>
  <si>
    <t xml:space="preserve">Población </t>
  </si>
  <si>
    <t>beneficiada</t>
  </si>
  <si>
    <t xml:space="preserve">AHORRO </t>
  </si>
  <si>
    <t>TOTAL</t>
  </si>
  <si>
    <t>CONAPO</t>
  </si>
  <si>
    <t>CASOS de Conjuntivitis</t>
  </si>
  <si>
    <t>Infecciones respiratorias agudas</t>
  </si>
  <si>
    <t>Fuente:</t>
  </si>
  <si>
    <t>http://www.epidemiologia.salud.gob.mx/dgae/boletin/intd_historicos.html</t>
  </si>
  <si>
    <t>Boletín Epidemiológico, Dirección Genreal de Epidemiología, Secretaría de Salud</t>
  </si>
  <si>
    <t>Población    CONAPO</t>
  </si>
  <si>
    <t>Tasa de incidencia (casos por 100000)</t>
  </si>
  <si>
    <t>y=be-ax</t>
  </si>
  <si>
    <t>Beneficiada</t>
  </si>
  <si>
    <t xml:space="preserve">Ahorro </t>
  </si>
  <si>
    <t>año</t>
  </si>
  <si>
    <t>Curva de beneficio</t>
  </si>
  <si>
    <t>RESUMEN</t>
  </si>
  <si>
    <t>Conjuntivitis</t>
  </si>
  <si>
    <t>IRAS</t>
  </si>
  <si>
    <t>VPN</t>
  </si>
  <si>
    <t>Tasa de descuento</t>
  </si>
  <si>
    <t>años</t>
  </si>
  <si>
    <t>Horizonte (años)</t>
  </si>
  <si>
    <t>Curva de</t>
  </si>
  <si>
    <t>beneficios</t>
  </si>
  <si>
    <r>
      <t>Desviación</t>
    </r>
    <r>
      <rPr>
        <vertAlign val="superscript"/>
        <sz val="8"/>
        <color theme="1"/>
        <rFont val="Arial"/>
        <family val="2"/>
      </rPr>
      <t>2/</t>
    </r>
  </si>
  <si>
    <r>
      <t>2/</t>
    </r>
    <r>
      <rPr>
        <sz val="8.5"/>
        <color theme="1"/>
        <rFont val="Arial"/>
        <family val="2"/>
      </rPr>
      <t xml:space="preserve"> Tasa comparativa entre la fuente y la información CONAPO</t>
    </r>
  </si>
  <si>
    <t>= a</t>
  </si>
  <si>
    <t>= b</t>
  </si>
  <si>
    <t>anual</t>
  </si>
  <si>
    <t>casos</t>
  </si>
  <si>
    <t>BENEFICIOS ($)</t>
  </si>
  <si>
    <t>TOTAL ($)</t>
  </si>
  <si>
    <t>($)</t>
  </si>
  <si>
    <t>Infecciones Respiratorias Agudas</t>
  </si>
  <si>
    <t>Enfermedad</t>
  </si>
  <si>
    <t>Casos considerados en la valoración del beneficio del proyecto para el periodo</t>
  </si>
  <si>
    <t xml:space="preserve">2018-2043    </t>
  </si>
  <si>
    <t>Enfermedades diarreicas agudas severas EDAS</t>
  </si>
  <si>
    <r>
      <t>Enfermedades respiratorias agudas severas IRAS</t>
    </r>
    <r>
      <rPr>
        <b/>
        <vertAlign val="superscript"/>
        <sz val="10"/>
        <color theme="1"/>
        <rFont val="Soberana Texto"/>
      </rPr>
      <t>1</t>
    </r>
  </si>
  <si>
    <t>Dengue FD</t>
  </si>
  <si>
    <t>Dengue FDH</t>
  </si>
  <si>
    <t>BENEFICIOS 2018-2043</t>
  </si>
  <si>
    <t>Población Beneficiada</t>
  </si>
  <si>
    <t xml:space="preserve">Costo unitario por morbilidad </t>
  </si>
  <si>
    <t>HOSPITALIZACION</t>
  </si>
  <si>
    <t>Infecciones respiratorias agudas severas IRAS</t>
  </si>
  <si>
    <t>Gastos hospitalarios</t>
  </si>
  <si>
    <t>CASOS TOTALES</t>
  </si>
  <si>
    <t>PARA</t>
  </si>
  <si>
    <t xml:space="preserve">% atribuible </t>
  </si>
  <si>
    <t>al proyecto</t>
  </si>
  <si>
    <r>
      <t xml:space="preserve">PRIMER NIVEL </t>
    </r>
    <r>
      <rPr>
        <sz val="10"/>
        <color theme="1"/>
        <rFont val="Calibri"/>
        <family val="2"/>
        <scheme val="minor"/>
      </rPr>
      <t>1/</t>
    </r>
  </si>
  <si>
    <t>1/</t>
  </si>
  <si>
    <t>Precios 2016</t>
  </si>
  <si>
    <t>Diarreicas agudas severas EDAS</t>
  </si>
  <si>
    <t xml:space="preserve">1PRIMER NIVEL. Se considera a la atención médica, sólo por consulta externa y administración de medicamentos. </t>
  </si>
  <si>
    <t>Fuente: SS,</t>
  </si>
  <si>
    <t xml:space="preserve">($/caso atendido)   </t>
  </si>
  <si>
    <t>Diagnóstico y tratamiento de:</t>
  </si>
  <si>
    <t>Sindrome diarréico agudo</t>
  </si>
  <si>
    <t>Paratifoidea</t>
  </si>
  <si>
    <t>Tifoidea</t>
  </si>
  <si>
    <t>Amebiasis</t>
  </si>
  <si>
    <t>Farigo amigdalitis aguda</t>
  </si>
  <si>
    <t>Rinofaringitis aguda</t>
  </si>
  <si>
    <t>Edo Mex</t>
  </si>
  <si>
    <t>Larigotraqueítis aguda</t>
  </si>
  <si>
    <t>Sinusitis aguda</t>
  </si>
  <si>
    <t>2014-2015</t>
  </si>
  <si>
    <t>Coahuila</t>
  </si>
  <si>
    <t>Promedio</t>
  </si>
  <si>
    <t>COSTO UNITARIO por CASO 2014</t>
  </si>
  <si>
    <t>Seguro Popular. Convenio Interinstitucional para la subrogación de prestación de servicios de salud</t>
  </si>
  <si>
    <t>INPC-2016/2014</t>
  </si>
  <si>
    <t>Valor social del tiempo</t>
  </si>
  <si>
    <t>horas</t>
  </si>
  <si>
    <t>Fuente: CEPEP</t>
  </si>
  <si>
    <t>"VALOR SOCIAL DEL TIEMPO A NIVEL NACIONAL EN MÉXICO PARA 2016"</t>
  </si>
  <si>
    <t>$/hora</t>
  </si>
  <si>
    <t>BENEFICIOS</t>
  </si>
  <si>
    <t>PROYECCIÓN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</si>
</sst>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0.000%"/>
    <numFmt numFmtId="167" formatCode="#,##0_ ;\-#,##0\ "/>
    <numFmt numFmtId="168" formatCode="_-* #,##0.0_-;\-* #,##0.0_-;_-* &quot;-&quot;??_-;_-@_-"/>
    <numFmt numFmtId="169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5.5"/>
      <color theme="1"/>
      <name val="Arial"/>
      <family val="2"/>
    </font>
    <font>
      <sz val="8.5"/>
      <color theme="1"/>
      <name val="Arial"/>
      <family val="2"/>
    </font>
    <font>
      <sz val="10"/>
      <color rgb="FF0000CC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vertAlign val="superscript"/>
      <sz val="11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vertAlign val="superscript"/>
      <sz val="8"/>
      <color theme="1"/>
      <name val="Arial"/>
      <family val="2"/>
    </font>
    <font>
      <vertAlign val="superscript"/>
      <sz val="8.5"/>
      <color theme="1"/>
      <name val="Arial"/>
      <family val="2"/>
    </font>
    <font>
      <b/>
      <sz val="10"/>
      <color theme="1"/>
      <name val="Soberana Texto"/>
    </font>
    <font>
      <sz val="10"/>
      <color theme="1"/>
      <name val="Soberana Texto"/>
    </font>
    <font>
      <b/>
      <vertAlign val="superscript"/>
      <sz val="10"/>
      <color theme="1"/>
      <name val="Soberana Texto"/>
    </font>
    <font>
      <sz val="10"/>
      <color theme="1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left" vertical="center" indent="5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164" fontId="0" fillId="0" borderId="0" xfId="1" applyNumberFormat="1" applyFont="1" applyAlignment="1">
      <alignment vertic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0" borderId="0" xfId="1" applyNumberFormat="1" applyFont="1"/>
    <xf numFmtId="43" fontId="3" fillId="0" borderId="0" xfId="0" applyNumberFormat="1" applyFont="1"/>
    <xf numFmtId="3" fontId="6" fillId="0" borderId="0" xfId="0" applyNumberFormat="1" applyFont="1"/>
    <xf numFmtId="165" fontId="0" fillId="0" borderId="0" xfId="0" applyNumberFormat="1"/>
    <xf numFmtId="166" fontId="0" fillId="0" borderId="0" xfId="2" applyNumberFormat="1" applyFont="1"/>
    <xf numFmtId="164" fontId="8" fillId="0" borderId="0" xfId="1" applyNumberFormat="1" applyFont="1" applyAlignment="1">
      <alignment vertical="center"/>
    </xf>
    <xf numFmtId="164" fontId="8" fillId="0" borderId="0" xfId="1" applyNumberFormat="1" applyFont="1"/>
    <xf numFmtId="164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/>
    <xf numFmtId="43" fontId="0" fillId="0" borderId="0" xfId="0" applyNumberFormat="1"/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64" fontId="9" fillId="2" borderId="0" xfId="1" applyNumberFormat="1" applyFont="1" applyFill="1" applyAlignment="1">
      <alignment vertical="center"/>
    </xf>
    <xf numFmtId="0" fontId="9" fillId="2" borderId="0" xfId="0" applyFont="1" applyFill="1"/>
    <xf numFmtId="164" fontId="9" fillId="2" borderId="0" xfId="1" applyNumberFormat="1" applyFont="1" applyFill="1"/>
    <xf numFmtId="0" fontId="9" fillId="0" borderId="0" xfId="0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9" fillId="2" borderId="0" xfId="1" applyNumberFormat="1" applyFont="1" applyFill="1" applyAlignment="1">
      <alignment horizontal="right"/>
    </xf>
    <xf numFmtId="0" fontId="0" fillId="2" borderId="0" xfId="0" applyFill="1"/>
    <xf numFmtId="1" fontId="9" fillId="0" borderId="0" xfId="0" applyNumberFormat="1" applyFont="1" applyAlignment="1">
      <alignment horizontal="right" vertical="center"/>
    </xf>
    <xf numFmtId="1" fontId="9" fillId="0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horizontal="right" vertical="center"/>
    </xf>
    <xf numFmtId="1" fontId="9" fillId="2" borderId="0" xfId="0" applyNumberFormat="1" applyFont="1" applyFill="1"/>
    <xf numFmtId="1" fontId="0" fillId="0" borderId="0" xfId="0" applyNumberFormat="1"/>
    <xf numFmtId="167" fontId="9" fillId="0" borderId="0" xfId="1" applyNumberFormat="1" applyFont="1" applyAlignment="1">
      <alignment horizontal="right"/>
    </xf>
    <xf numFmtId="1" fontId="0" fillId="2" borderId="0" xfId="0" applyNumberFormat="1" applyFill="1"/>
    <xf numFmtId="0" fontId="0" fillId="3" borderId="0" xfId="0" applyFill="1"/>
    <xf numFmtId="164" fontId="0" fillId="3" borderId="0" xfId="1" applyNumberFormat="1" applyFont="1" applyFill="1"/>
    <xf numFmtId="164" fontId="7" fillId="3" borderId="0" xfId="0" applyNumberFormat="1" applyFont="1" applyFill="1"/>
    <xf numFmtId="43" fontId="0" fillId="0" borderId="0" xfId="1" applyFont="1"/>
    <xf numFmtId="168" fontId="0" fillId="0" borderId="0" xfId="1" applyNumberFormat="1" applyFont="1"/>
    <xf numFmtId="0" fontId="7" fillId="3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4" fillId="2" borderId="0" xfId="0" applyFont="1" applyFill="1"/>
    <xf numFmtId="164" fontId="15" fillId="0" borderId="0" xfId="1" applyNumberFormat="1" applyFont="1" applyAlignment="1">
      <alignment vertical="center"/>
    </xf>
    <xf numFmtId="164" fontId="0" fillId="2" borderId="0" xfId="1" applyNumberFormat="1" applyFont="1" applyFill="1"/>
    <xf numFmtId="2" fontId="0" fillId="0" borderId="0" xfId="0" applyNumberFormat="1"/>
    <xf numFmtId="0" fontId="16" fillId="0" borderId="0" xfId="3"/>
    <xf numFmtId="164" fontId="0" fillId="2" borderId="0" xfId="0" applyNumberFormat="1" applyFill="1"/>
    <xf numFmtId="0" fontId="7" fillId="3" borderId="0" xfId="0" applyFont="1" applyFill="1"/>
    <xf numFmtId="0" fontId="12" fillId="3" borderId="0" xfId="0" applyFont="1" applyFill="1"/>
    <xf numFmtId="0" fontId="0" fillId="3" borderId="0" xfId="0" applyFill="1" applyAlignment="1">
      <alignment wrapText="1"/>
    </xf>
    <xf numFmtId="0" fontId="17" fillId="0" borderId="0" xfId="0" applyFont="1"/>
    <xf numFmtId="0" fontId="0" fillId="3" borderId="0" xfId="0" applyFill="1" applyAlignment="1">
      <alignment horizontal="center"/>
    </xf>
    <xf numFmtId="164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164" fontId="0" fillId="4" borderId="0" xfId="0" applyNumberFormat="1" applyFill="1"/>
    <xf numFmtId="164" fontId="7" fillId="4" borderId="0" xfId="0" applyNumberFormat="1" applyFont="1" applyFill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4" borderId="0" xfId="0" applyFont="1" applyFill="1"/>
    <xf numFmtId="0" fontId="19" fillId="0" borderId="0" xfId="0" applyFont="1" applyAlignment="1">
      <alignment vertical="center"/>
    </xf>
    <xf numFmtId="0" fontId="0" fillId="5" borderId="0" xfId="0" applyFill="1"/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wrapText="1"/>
    </xf>
    <xf numFmtId="164" fontId="0" fillId="5" borderId="0" xfId="1" applyNumberFormat="1" applyFont="1" applyFill="1"/>
    <xf numFmtId="0" fontId="8" fillId="5" borderId="0" xfId="0" applyFont="1" applyFill="1" applyAlignment="1">
      <alignment horizontal="right"/>
    </xf>
    <xf numFmtId="0" fontId="8" fillId="5" borderId="0" xfId="0" applyFont="1" applyFill="1"/>
    <xf numFmtId="164" fontId="0" fillId="5" borderId="0" xfId="0" applyNumberFormat="1" applyFill="1"/>
    <xf numFmtId="2" fontId="0" fillId="5" borderId="0" xfId="0" applyNumberFormat="1" applyFill="1"/>
    <xf numFmtId="0" fontId="0" fillId="5" borderId="0" xfId="0" quotePrefix="1" applyFill="1"/>
    <xf numFmtId="0" fontId="0" fillId="5" borderId="0" xfId="0" applyFill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3" fontId="21" fillId="0" borderId="4" xfId="0" applyNumberFormat="1" applyFont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0" fontId="20" fillId="6" borderId="2" xfId="0" applyFont="1" applyFill="1" applyBorder="1" applyAlignment="1">
      <alignment vertical="center"/>
    </xf>
    <xf numFmtId="0" fontId="21" fillId="6" borderId="4" xfId="0" applyFont="1" applyFill="1" applyBorder="1" applyAlignment="1">
      <alignment horizontal="center" vertical="center"/>
    </xf>
    <xf numFmtId="9" fontId="21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9" fontId="21" fillId="0" borderId="4" xfId="0" applyNumberFormat="1" applyFont="1" applyBorder="1" applyAlignment="1">
      <alignment horizontal="center" vertical="center"/>
    </xf>
    <xf numFmtId="10" fontId="21" fillId="6" borderId="4" xfId="0" applyNumberFormat="1" applyFont="1" applyFill="1" applyBorder="1" applyAlignment="1">
      <alignment horizontal="center" vertical="center"/>
    </xf>
    <xf numFmtId="167" fontId="21" fillId="6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8" fontId="0" fillId="0" borderId="0" xfId="0" applyNumberFormat="1"/>
    <xf numFmtId="0" fontId="20" fillId="0" borderId="4" xfId="0" applyFont="1" applyBorder="1" applyAlignment="1">
      <alignment horizontal="center" vertical="center"/>
    </xf>
    <xf numFmtId="0" fontId="24" fillId="0" borderId="0" xfId="0" applyFont="1"/>
    <xf numFmtId="0" fontId="0" fillId="7" borderId="0" xfId="0" applyFill="1"/>
    <xf numFmtId="0" fontId="0" fillId="7" borderId="0" xfId="0" applyFill="1" applyAlignment="1">
      <alignment horizontal="right"/>
    </xf>
    <xf numFmtId="43" fontId="12" fillId="3" borderId="0" xfId="0" applyNumberFormat="1" applyFont="1" applyFill="1"/>
    <xf numFmtId="164" fontId="0" fillId="8" borderId="0" xfId="0" applyNumberFormat="1" applyFill="1"/>
    <xf numFmtId="0" fontId="0" fillId="9" borderId="0" xfId="0" applyFill="1"/>
    <xf numFmtId="43" fontId="0" fillId="9" borderId="0" xfId="1" applyFont="1" applyFill="1"/>
    <xf numFmtId="43" fontId="7" fillId="9" borderId="0" xfId="1" applyFont="1" applyFill="1"/>
    <xf numFmtId="43" fontId="0" fillId="5" borderId="0" xfId="1" applyFont="1" applyFill="1"/>
    <xf numFmtId="43" fontId="7" fillId="5" borderId="0" xfId="1" applyFont="1" applyFill="1"/>
    <xf numFmtId="0" fontId="25" fillId="7" borderId="0" xfId="0" applyFont="1" applyFill="1"/>
    <xf numFmtId="169" fontId="0" fillId="3" borderId="0" xfId="0" applyNumberFormat="1" applyFill="1"/>
    <xf numFmtId="0" fontId="7" fillId="5" borderId="0" xfId="0" applyFont="1" applyFill="1"/>
    <xf numFmtId="0" fontId="12" fillId="5" borderId="0" xfId="0" applyFont="1" applyFill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7" fillId="2" borderId="9" xfId="0" applyFont="1" applyFill="1" applyBorder="1"/>
    <xf numFmtId="0" fontId="7" fillId="2" borderId="0" xfId="0" applyFont="1" applyFill="1" applyBorder="1"/>
    <xf numFmtId="0" fontId="7" fillId="0" borderId="0" xfId="0" applyFont="1" applyBorder="1"/>
    <xf numFmtId="0" fontId="7" fillId="2" borderId="10" xfId="0" applyFont="1" applyFill="1" applyBorder="1" applyAlignment="1">
      <alignment horizontal="center"/>
    </xf>
    <xf numFmtId="0" fontId="0" fillId="2" borderId="9" xfId="0" applyFill="1" applyBorder="1"/>
    <xf numFmtId="0" fontId="0" fillId="2" borderId="0" xfId="0" applyFill="1" applyBorder="1"/>
    <xf numFmtId="164" fontId="0" fillId="0" borderId="0" xfId="0" applyNumberFormat="1" applyBorder="1"/>
    <xf numFmtId="164" fontId="0" fillId="2" borderId="10" xfId="0" applyNumberFormat="1" applyFill="1" applyBorder="1"/>
    <xf numFmtId="0" fontId="0" fillId="0" borderId="0" xfId="0" applyBorder="1"/>
    <xf numFmtId="164" fontId="7" fillId="2" borderId="10" xfId="0" applyNumberFormat="1" applyFont="1" applyFill="1" applyBorder="1"/>
    <xf numFmtId="0" fontId="0" fillId="3" borderId="9" xfId="0" applyFill="1" applyBorder="1" applyAlignment="1">
      <alignment horizontal="right"/>
    </xf>
    <xf numFmtId="0" fontId="0" fillId="3" borderId="0" xfId="0" applyFill="1" applyBorder="1"/>
    <xf numFmtId="0" fontId="0" fillId="0" borderId="10" xfId="0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10" borderId="0" xfId="0" applyFill="1"/>
    <xf numFmtId="0" fontId="26" fillId="10" borderId="0" xfId="0" applyFont="1" applyFill="1"/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Otras</c:v>
          </c:tx>
          <c:marker>
            <c:symbol val="none"/>
          </c:marker>
          <c:val>
            <c:numRef>
              <c:f>Hoja1!$T$29:$T$43</c:f>
              <c:numCache>
                <c:formatCode>_(* #,##0.00_);_(* \(#,##0.00\);_(* "-"??_);_(@_)</c:formatCode>
                <c:ptCount val="15"/>
                <c:pt idx="0">
                  <c:v>5303.7430332206177</c:v>
                </c:pt>
                <c:pt idx="1">
                  <c:v>4757.8754641751875</c:v>
                </c:pt>
                <c:pt idx="2">
                  <c:v>4675.2285471109917</c:v>
                </c:pt>
                <c:pt idx="3">
                  <c:v>4617.3078105627956</c:v>
                </c:pt>
                <c:pt idx="4">
                  <c:v>4525.4838888718905</c:v>
                </c:pt>
                <c:pt idx="5">
                  <c:v>4389.6052978325706</c:v>
                </c:pt>
                <c:pt idx="6">
                  <c:v>4192.4566897559698</c:v>
                </c:pt>
                <c:pt idx="7">
                  <c:v>4377.0859179364543</c:v>
                </c:pt>
                <c:pt idx="8">
                  <c:v>4489.5261152426228</c:v>
                </c:pt>
                <c:pt idx="9">
                  <c:v>4753.3079954834038</c:v>
                </c:pt>
                <c:pt idx="10">
                  <c:v>4762.7000538411712</c:v>
                </c:pt>
                <c:pt idx="11">
                  <c:v>4652.7281515581981</c:v>
                </c:pt>
                <c:pt idx="12">
                  <c:v>4173.0977492675993</c:v>
                </c:pt>
                <c:pt idx="13">
                  <c:v>4186.6591143515816</c:v>
                </c:pt>
                <c:pt idx="14">
                  <c:v>3755.6134419661912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B-4CD6-9778-B86AC3F56FF9}"/>
            </c:ext>
          </c:extLst>
        </c:ser>
        <c:ser>
          <c:idx val="1"/>
          <c:order val="1"/>
          <c:tx>
            <c:v>Infecciosas</c:v>
          </c:tx>
          <c:marker>
            <c:symbol val="none"/>
          </c:marker>
          <c:trendline>
            <c:trendlineType val="power"/>
            <c:dispRSqr val="1"/>
            <c:dispEq val="1"/>
            <c:trendlineLbl>
              <c:layout>
                <c:manualLayout>
                  <c:x val="0.30628718285214346"/>
                  <c:y val="-0.12715077282006415"/>
                </c:manualLayout>
              </c:layout>
              <c:numFmt formatCode="General" sourceLinked="0"/>
            </c:trendlineLbl>
          </c:trendline>
          <c:val>
            <c:numRef>
              <c:f>Hoja1!$S$29:$S$43</c:f>
              <c:numCache>
                <c:formatCode>_(* #,##0.00_);_(* \(#,##0.00\);_(* "-"??_);_(@_)</c:formatCode>
                <c:ptCount val="15"/>
                <c:pt idx="0">
                  <c:v>6605.845886860795</c:v>
                </c:pt>
                <c:pt idx="1">
                  <c:v>5911.9723491690802</c:v>
                </c:pt>
                <c:pt idx="2">
                  <c:v>5617.5373863505502</c:v>
                </c:pt>
                <c:pt idx="3">
                  <c:v>5518.3352399726773</c:v>
                </c:pt>
                <c:pt idx="4">
                  <c:v>5317.9073692956754</c:v>
                </c:pt>
                <c:pt idx="5">
                  <c:v>5040.3512651198153</c:v>
                </c:pt>
                <c:pt idx="6">
                  <c:v>4942.1335849198667</c:v>
                </c:pt>
                <c:pt idx="7">
                  <c:v>4931.0705255033836</c:v>
                </c:pt>
                <c:pt idx="8">
                  <c:v>4993.5532478723972</c:v>
                </c:pt>
                <c:pt idx="9">
                  <c:v>5208.7782050793085</c:v>
                </c:pt>
                <c:pt idx="10">
                  <c:v>5164.7264743572277</c:v>
                </c:pt>
                <c:pt idx="11">
                  <c:v>4947.9026446383541</c:v>
                </c:pt>
                <c:pt idx="12">
                  <c:v>4499.7267163600454</c:v>
                </c:pt>
                <c:pt idx="13">
                  <c:v>4470.5520816603375</c:v>
                </c:pt>
                <c:pt idx="14">
                  <c:v>3995.5739109306096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BB-4CD6-9778-B86AC3F56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30624"/>
        <c:axId val="130744704"/>
      </c:lineChart>
      <c:catAx>
        <c:axId val="13073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0744704"/>
        <c:crosses val="autoZero"/>
        <c:auto val="1"/>
        <c:lblAlgn val="ctr"/>
        <c:lblOffset val="100"/>
        <c:noMultiLvlLbl val="0"/>
      </c:catAx>
      <c:valAx>
        <c:axId val="13074470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30730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Tasa de incidencia</c:v>
          </c:tx>
          <c:marker>
            <c:symbol val="none"/>
          </c:marker>
          <c:trendline>
            <c:spPr>
              <a:ln w="31750">
                <a:solidFill>
                  <a:srgbClr val="FF0000"/>
                </a:solidFill>
                <a:prstDash val="sysDot"/>
              </a:ln>
            </c:spPr>
            <c:trendlineType val="exp"/>
            <c:dispRSqr val="1"/>
            <c:dispEq val="1"/>
            <c:trendlineLbl>
              <c:layout>
                <c:manualLayout>
                  <c:x val="0.55941082100005646"/>
                  <c:y val="0.30537984835228932"/>
                </c:manualLayout>
              </c:layout>
              <c:numFmt formatCode="General" sourceLinked="0"/>
            </c:trendlineLbl>
          </c:trendline>
          <c:cat>
            <c:numRef>
              <c:f>EDAS!$B$26:$B$74</c:f>
              <c:numCache>
                <c:formatCode>General</c:formatCode>
                <c:ptCount val="4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</c:numCache>
            </c:numRef>
          </c:cat>
          <c:val>
            <c:numRef>
              <c:f>EDAS!$E$26:$E$47</c:f>
              <c:numCache>
                <c:formatCode>0</c:formatCode>
                <c:ptCount val="22"/>
                <c:pt idx="0">
                  <c:v>6395.52</c:v>
                </c:pt>
                <c:pt idx="1">
                  <c:v>6738.28</c:v>
                </c:pt>
                <c:pt idx="2">
                  <c:v>7451.52</c:v>
                </c:pt>
                <c:pt idx="3">
                  <c:v>7945.67</c:v>
                </c:pt>
                <c:pt idx="4">
                  <c:v>7473.9</c:v>
                </c:pt>
                <c:pt idx="5">
                  <c:v>7000.37</c:v>
                </c:pt>
                <c:pt idx="6">
                  <c:v>6928.16</c:v>
                </c:pt>
                <c:pt idx="7">
                  <c:v>6770.06</c:v>
                </c:pt>
                <c:pt idx="8">
                  <c:v>6136.38</c:v>
                </c:pt>
                <c:pt idx="9">
                  <c:v>5778.41</c:v>
                </c:pt>
                <c:pt idx="10">
                  <c:v>5688.44</c:v>
                </c:pt>
                <c:pt idx="11">
                  <c:v>5497.14</c:v>
                </c:pt>
                <c:pt idx="12">
                  <c:v>5230.7700000000004</c:v>
                </c:pt>
                <c:pt idx="13">
                  <c:v>5216.37</c:v>
                </c:pt>
                <c:pt idx="14">
                  <c:v>5174.16</c:v>
                </c:pt>
                <c:pt idx="15">
                  <c:v>5264.24</c:v>
                </c:pt>
                <c:pt idx="16">
                  <c:v>5490.3426191235021</c:v>
                </c:pt>
                <c:pt idx="17">
                  <c:v>5443.9096390450368</c:v>
                </c:pt>
                <c:pt idx="18">
                  <c:v>5215.3652345268601</c:v>
                </c:pt>
                <c:pt idx="19">
                  <c:v>4742.9628201771457</c:v>
                </c:pt>
                <c:pt idx="20">
                  <c:v>4712.2111287088919</c:v>
                </c:pt>
                <c:pt idx="21">
                  <c:v>4211.5576565822093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4-4C22-8B8C-71E8035F1253}"/>
            </c:ext>
          </c:extLst>
        </c:ser>
        <c:ser>
          <c:idx val="1"/>
          <c:order val="1"/>
          <c:tx>
            <c:v>Proyección</c:v>
          </c:tx>
          <c:spPr>
            <a:ln w="31750">
              <a:prstDash val="sysDot"/>
            </a:ln>
          </c:spPr>
          <c:marker>
            <c:symbol val="none"/>
          </c:marker>
          <c:cat>
            <c:numRef>
              <c:f>EDAS!$B$26:$B$74</c:f>
              <c:numCache>
                <c:formatCode>General</c:formatCode>
                <c:ptCount val="4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</c:numCache>
            </c:numRef>
          </c:cat>
          <c:val>
            <c:numRef>
              <c:f>EDAS!$F$26:$F$74</c:f>
              <c:numCache>
                <c:formatCode>General</c:formatCode>
                <c:ptCount val="49"/>
                <c:pt idx="22" formatCode="0">
                  <c:v>4528.5925330945101</c:v>
                </c:pt>
                <c:pt idx="23" formatCode="0">
                  <c:v>4421.2001753765426</c:v>
                </c:pt>
                <c:pt idx="24" formatCode="0">
                  <c:v>4316.3545511992816</c:v>
                </c:pt>
                <c:pt idx="25" formatCode="0">
                  <c:v>4213.9952665843721</c:v>
                </c:pt>
                <c:pt idx="26" formatCode="0">
                  <c:v>4114.0633597537944</c:v>
                </c:pt>
                <c:pt idx="27" formatCode="0">
                  <c:v>4016.5012671662416</c:v>
                </c:pt>
                <c:pt idx="28" formatCode="0">
                  <c:v>3921.2527903589366</c:v>
                </c:pt>
                <c:pt idx="29" formatCode="0">
                  <c:v>3828.2630635757564</c:v>
                </c:pt>
                <c:pt idx="30" formatCode="0">
                  <c:v>3737.4785221630464</c:v>
                </c:pt>
                <c:pt idx="31" formatCode="0">
                  <c:v>3648.8468717148917</c:v>
                </c:pt>
                <c:pt idx="32" formatCode="0">
                  <c:v>3562.3170579501002</c:v>
                </c:pt>
                <c:pt idx="33" formatCode="0">
                  <c:v>3477.8392373035203</c:v>
                </c:pt>
                <c:pt idx="34" formatCode="0">
                  <c:v>3395.3647482147735</c:v>
                </c:pt>
                <c:pt idx="35" formatCode="0">
                  <c:v>3314.8460830978456</c:v>
                </c:pt>
                <c:pt idx="36" formatCode="0">
                  <c:v>3236.2368609754058</c:v>
                </c:pt>
                <c:pt idx="37" formatCode="0">
                  <c:v>3159.4918007620822</c:v>
                </c:pt>
                <c:pt idx="38" formatCode="0">
                  <c:v>3084.5666951813046</c:v>
                </c:pt>
                <c:pt idx="39" formatCode="0">
                  <c:v>3011.4183853006884</c:v>
                </c:pt>
                <c:pt idx="40" formatCode="0">
                  <c:v>2940.0047356713003</c:v>
                </c:pt>
                <c:pt idx="41" formatCode="0">
                  <c:v>2870.2846100564698</c:v>
                </c:pt>
                <c:pt idx="42" formatCode="0">
                  <c:v>2802.2178477361845</c:v>
                </c:pt>
                <c:pt idx="43" formatCode="0">
                  <c:v>2735.7652403734019</c:v>
                </c:pt>
                <c:pt idx="44" formatCode="0">
                  <c:v>2670.888509428964</c:v>
                </c:pt>
                <c:pt idx="45" formatCode="0">
                  <c:v>2607.5502841121001</c:v>
                </c:pt>
                <c:pt idx="46" formatCode="0">
                  <c:v>2545.7140798538203</c:v>
                </c:pt>
                <c:pt idx="47" formatCode="0">
                  <c:v>2485.3442772907897</c:v>
                </c:pt>
                <c:pt idx="48" formatCode="0">
                  <c:v>2426.4061017475965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4-4C22-8B8C-71E8035F1253}"/>
            </c:ext>
          </c:extLst>
        </c:ser>
        <c:ser>
          <c:idx val="2"/>
          <c:order val="2"/>
          <c:tx>
            <c:v>Beneficio</c:v>
          </c:tx>
          <c:marker>
            <c:symbol val="none"/>
          </c:marker>
          <c:val>
            <c:numRef>
              <c:f>EDAS!$I$26:$I$74</c:f>
              <c:numCache>
                <c:formatCode>General</c:formatCode>
                <c:ptCount val="49"/>
                <c:pt idx="19">
                  <c:v>0</c:v>
                </c:pt>
                <c:pt idx="20">
                  <c:v>0</c:v>
                </c:pt>
                <c:pt idx="23" formatCode="0">
                  <c:v>4421.2001753765426</c:v>
                </c:pt>
                <c:pt idx="24" formatCode="0">
                  <c:v>4294.3297533828581</c:v>
                </c:pt>
                <c:pt idx="25" formatCode="0">
                  <c:v>4184.3672195732697</c:v>
                </c:pt>
                <c:pt idx="26" formatCode="0">
                  <c:v>4077.2204357261285</c:v>
                </c:pt>
                <c:pt idx="27" formatCode="0">
                  <c:v>3972.8173004849423</c:v>
                </c:pt>
                <c:pt idx="28" formatCode="0">
                  <c:v>3871.0875587528926</c:v>
                </c:pt>
                <c:pt idx="29" formatCode="0">
                  <c:v>3771.9627544166819</c:v>
                </c:pt>
                <c:pt idx="30" formatCode="0">
                  <c:v>3675.3761842809549</c:v>
                </c:pt>
                <c:pt idx="31" formatCode="0">
                  <c:v>3581.2628531822938</c:v>
                </c:pt>
                <c:pt idx="32" formatCode="0">
                  <c:v>3489.5594302525897</c:v>
                </c:pt>
                <c:pt idx="33" formatCode="0">
                  <c:v>3400.2042063023459</c:v>
                </c:pt>
                <c:pt idx="34" formatCode="0">
                  <c:v>3313.1370522952534</c:v>
                </c:pt>
                <c:pt idx="35" formatCode="0">
                  <c:v>3228.2993788860736</c:v>
                </c:pt>
                <c:pt idx="36" formatCode="0">
                  <c:v>3145.6340969946236</c:v>
                </c:pt>
                <c:pt idx="37" formatCode="0">
                  <c:v>3065.0855793893138</c:v>
                </c:pt>
                <c:pt idx="38" formatCode="0">
                  <c:v>2986.5996232543957</c:v>
                </c:pt>
                <c:pt idx="39" formatCode="0">
                  <c:v>2910.1234137157339</c:v>
                </c:pt>
                <c:pt idx="40" formatCode="0">
                  <c:v>2835.6054883005495</c:v>
                </c:pt>
                <c:pt idx="41" formatCode="0">
                  <c:v>2762.9957023072234</c:v>
                </c:pt>
                <c:pt idx="42" formatCode="0">
                  <c:v>2692.245195061857</c:v>
                </c:pt>
                <c:pt idx="43" formatCode="0">
                  <c:v>2623.3063570388845</c:v>
                </c:pt>
                <c:pt idx="44" formatCode="0">
                  <c:v>2556.1327978236054</c:v>
                </c:pt>
                <c:pt idx="45" formatCode="0">
                  <c:v>2490.6793148950865</c:v>
                </c:pt>
                <c:pt idx="46" formatCode="0">
                  <c:v>2426.9018632084189</c:v>
                </c:pt>
                <c:pt idx="47" formatCode="0">
                  <c:v>2364.7575255558704</c:v>
                </c:pt>
                <c:pt idx="48" formatCode="0">
                  <c:v>2304.2044836869795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C4-4C22-8B8C-71E8035F1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89760"/>
        <c:axId val="130791296"/>
      </c:lineChart>
      <c:catAx>
        <c:axId val="1307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130791296"/>
        <c:crosses val="autoZero"/>
        <c:auto val="1"/>
        <c:lblAlgn val="ctr"/>
        <c:lblOffset val="100"/>
        <c:noMultiLvlLbl val="0"/>
      </c:catAx>
      <c:valAx>
        <c:axId val="130791296"/>
        <c:scaling>
          <c:orientation val="minMax"/>
          <c:min val="10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3078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EDAS!$B$26:$B$46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EDAS!$D$26:$D$46</c:f>
              <c:numCache>
                <c:formatCode>_-* #,##0_-;\-* #,##0_-;_-* "-"??_-;_-@_-</c:formatCode>
                <c:ptCount val="21"/>
                <c:pt idx="0">
                  <c:v>5866261</c:v>
                </c:pt>
                <c:pt idx="1">
                  <c:v>6275369</c:v>
                </c:pt>
                <c:pt idx="2">
                  <c:v>7040048</c:v>
                </c:pt>
                <c:pt idx="3">
                  <c:v>7611170</c:v>
                </c:pt>
                <c:pt idx="4">
                  <c:v>7258268</c:v>
                </c:pt>
                <c:pt idx="5">
                  <c:v>6891063</c:v>
                </c:pt>
                <c:pt idx="6">
                  <c:v>6908456</c:v>
                </c:pt>
                <c:pt idx="7">
                  <c:v>6831630</c:v>
                </c:pt>
                <c:pt idx="8">
                  <c:v>6259077</c:v>
                </c:pt>
                <c:pt idx="9">
                  <c:v>5951869</c:v>
                </c:pt>
                <c:pt idx="10">
                  <c:v>5912952</c:v>
                </c:pt>
                <c:pt idx="11">
                  <c:v>5765081</c:v>
                </c:pt>
                <c:pt idx="12">
                  <c:v>5533670</c:v>
                </c:pt>
                <c:pt idx="13">
                  <c:v>5564956</c:v>
                </c:pt>
                <c:pt idx="14">
                  <c:v>5564841</c:v>
                </c:pt>
                <c:pt idx="15">
                  <c:v>5706232</c:v>
                </c:pt>
                <c:pt idx="16">
                  <c:v>6025664</c:v>
                </c:pt>
                <c:pt idx="17">
                  <c:v>6045506</c:v>
                </c:pt>
                <c:pt idx="18">
                  <c:v>5858072</c:v>
                </c:pt>
                <c:pt idx="19">
                  <c:v>5386767</c:v>
                </c:pt>
                <c:pt idx="20">
                  <c:v>5409628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BFA-9C1E-C45E2DAD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43520"/>
        <c:axId val="130445312"/>
      </c:barChart>
      <c:catAx>
        <c:axId val="1304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130445312"/>
        <c:crosses val="autoZero"/>
        <c:auto val="1"/>
        <c:lblAlgn val="ctr"/>
        <c:lblOffset val="100"/>
        <c:noMultiLvlLbl val="0"/>
      </c:catAx>
      <c:valAx>
        <c:axId val="13044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CASOS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3044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Conjuntivitis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0.66949108112230826"/>
                  <c:y val="0.160184728255717"/>
                </c:manualLayout>
              </c:layout>
              <c:numFmt formatCode="General" sourceLinked="0"/>
            </c:trendlineLbl>
          </c:trendline>
          <c:cat>
            <c:numRef>
              <c:f>Conjuntivitis!$A$12:$A$53</c:f>
              <c:numCache>
                <c:formatCode>General</c:formatCode>
                <c:ptCount val="4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</c:numCache>
            </c:numRef>
          </c:cat>
          <c:val>
            <c:numRef>
              <c:f>Conjuntivitis!$E$12:$E$26</c:f>
              <c:numCache>
                <c:formatCode>0.00</c:formatCode>
                <c:ptCount val="15"/>
                <c:pt idx="0">
                  <c:v>197.13020015172609</c:v>
                </c:pt>
                <c:pt idx="1">
                  <c:v>399.70343361033486</c:v>
                </c:pt>
                <c:pt idx="2">
                  <c:v>147.81753727497892</c:v>
                </c:pt>
                <c:pt idx="3">
                  <c:v>245.65423839071383</c:v>
                </c:pt>
                <c:pt idx="4">
                  <c:v>297.111415106447</c:v>
                </c:pt>
                <c:pt idx="5">
                  <c:v>319.3536219296883</c:v>
                </c:pt>
                <c:pt idx="6">
                  <c:v>313.18066920897729</c:v>
                </c:pt>
                <c:pt idx="7">
                  <c:v>331.63703795767424</c:v>
                </c:pt>
                <c:pt idx="8">
                  <c:v>437.32315512909662</c:v>
                </c:pt>
                <c:pt idx="9">
                  <c:v>384.10354862158761</c:v>
                </c:pt>
                <c:pt idx="10">
                  <c:v>363.69702046277575</c:v>
                </c:pt>
                <c:pt idx="11">
                  <c:v>363.59542568976173</c:v>
                </c:pt>
                <c:pt idx="12">
                  <c:v>381.14676304375342</c:v>
                </c:pt>
                <c:pt idx="13">
                  <c:v>689.48173865306103</c:v>
                </c:pt>
                <c:pt idx="14">
                  <c:v>742.75308890280826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2-47A0-8752-43930A20D413}"/>
            </c:ext>
          </c:extLst>
        </c:ser>
        <c:ser>
          <c:idx val="1"/>
          <c:order val="1"/>
          <c:tx>
            <c:v>Proyección</c:v>
          </c:tx>
          <c:marker>
            <c:symbol val="none"/>
          </c:marker>
          <c:cat>
            <c:numRef>
              <c:f>Conjuntivitis!$A$12:$A$53</c:f>
              <c:numCache>
                <c:formatCode>General</c:formatCode>
                <c:ptCount val="4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</c:numCache>
            </c:numRef>
          </c:cat>
          <c:val>
            <c:numRef>
              <c:f>Conjuntivitis!$G$12:$G$53</c:f>
              <c:numCache>
                <c:formatCode>General</c:formatCode>
                <c:ptCount val="42"/>
                <c:pt idx="14" formatCode="_(* #,##0.00_);_(* \(#,##0.00\);_(* &quot;-&quot;??_);_(@_)">
                  <c:v>565.495</c:v>
                </c:pt>
                <c:pt idx="15" formatCode="_(* #,##0.00_);_(* \(#,##0.00\);_(* &quot;-&quot;??_);_(@_)">
                  <c:v>592.81600000000003</c:v>
                </c:pt>
                <c:pt idx="16" formatCode="_(* #,##0.00_);_(* \(#,##0.00\);_(* &quot;-&quot;??_);_(@_)">
                  <c:v>620.13700000000006</c:v>
                </c:pt>
                <c:pt idx="17" formatCode="_(* #,##0.00_);_(* \(#,##0.00\);_(* &quot;-&quot;??_);_(@_)">
                  <c:v>647.45800000000008</c:v>
                </c:pt>
                <c:pt idx="18" formatCode="_(* #,##0.00_);_(* \(#,##0.00\);_(* &quot;-&quot;??_);_(@_)">
                  <c:v>674.779</c:v>
                </c:pt>
                <c:pt idx="19" formatCode="_(* #,##0.00_);_(* \(#,##0.00\);_(* &quot;-&quot;??_);_(@_)">
                  <c:v>702.10000000000014</c:v>
                </c:pt>
                <c:pt idx="20" formatCode="_(* #,##0.00_);_(* \(#,##0.00\);_(* &quot;-&quot;??_);_(@_)">
                  <c:v>729.42100000000005</c:v>
                </c:pt>
                <c:pt idx="21" formatCode="_(* #,##0.00_);_(* \(#,##0.00\);_(* &quot;-&quot;??_);_(@_)">
                  <c:v>756.74199999999996</c:v>
                </c:pt>
                <c:pt idx="22" formatCode="_(* #,##0.00_);_(* \(#,##0.00\);_(* &quot;-&quot;??_);_(@_)">
                  <c:v>784.0630000000001</c:v>
                </c:pt>
                <c:pt idx="23" formatCode="_(* #,##0.00_);_(* \(#,##0.00\);_(* &quot;-&quot;??_);_(@_)">
                  <c:v>811.38400000000001</c:v>
                </c:pt>
                <c:pt idx="24" formatCode="_(* #,##0.00_);_(* \(#,##0.00\);_(* &quot;-&quot;??_);_(@_)">
                  <c:v>838.70500000000015</c:v>
                </c:pt>
                <c:pt idx="25" formatCode="_(* #,##0.00_);_(* \(#,##0.00\);_(* &quot;-&quot;??_);_(@_)">
                  <c:v>866.02600000000007</c:v>
                </c:pt>
                <c:pt idx="26" formatCode="_(* #,##0.00_);_(* \(#,##0.00\);_(* &quot;-&quot;??_);_(@_)">
                  <c:v>893.34699999999998</c:v>
                </c:pt>
                <c:pt idx="27" formatCode="_(* #,##0.00_);_(* \(#,##0.00\);_(* &quot;-&quot;??_);_(@_)">
                  <c:v>920.66800000000012</c:v>
                </c:pt>
                <c:pt idx="28" formatCode="_(* #,##0.00_);_(* \(#,##0.00\);_(* &quot;-&quot;??_);_(@_)">
                  <c:v>947.98900000000003</c:v>
                </c:pt>
                <c:pt idx="29" formatCode="_(* #,##0.00_);_(* \(#,##0.00\);_(* &quot;-&quot;??_);_(@_)">
                  <c:v>975.31</c:v>
                </c:pt>
                <c:pt idx="30" formatCode="_(* #,##0.00_);_(* \(#,##0.00\);_(* &quot;-&quot;??_);_(@_)">
                  <c:v>1002.6310000000001</c:v>
                </c:pt>
                <c:pt idx="31" formatCode="_(* #,##0.00_);_(* \(#,##0.00\);_(* &quot;-&quot;??_);_(@_)">
                  <c:v>1029.952</c:v>
                </c:pt>
                <c:pt idx="32" formatCode="_(* #,##0.00_);_(* \(#,##0.00\);_(* &quot;-&quot;??_);_(@_)">
                  <c:v>1057.2730000000001</c:v>
                </c:pt>
                <c:pt idx="33" formatCode="_(* #,##0.00_);_(* \(#,##0.00\);_(* &quot;-&quot;??_);_(@_)">
                  <c:v>1084.5940000000001</c:v>
                </c:pt>
                <c:pt idx="34" formatCode="_(* #,##0.00_);_(* \(#,##0.00\);_(* &quot;-&quot;??_);_(@_)">
                  <c:v>1111.915</c:v>
                </c:pt>
                <c:pt idx="35" formatCode="_(* #,##0.00_);_(* \(#,##0.00\);_(* &quot;-&quot;??_);_(@_)">
                  <c:v>1139.2360000000001</c:v>
                </c:pt>
                <c:pt idx="36" formatCode="_(* #,##0.00_);_(* \(#,##0.00\);_(* &quot;-&quot;??_);_(@_)">
                  <c:v>1166.557</c:v>
                </c:pt>
                <c:pt idx="37" formatCode="_(* #,##0.00_);_(* \(#,##0.00\);_(* &quot;-&quot;??_);_(@_)">
                  <c:v>1193.8780000000002</c:v>
                </c:pt>
                <c:pt idx="38" formatCode="_(* #,##0.00_);_(* \(#,##0.00\);_(* &quot;-&quot;??_);_(@_)">
                  <c:v>1221.1990000000001</c:v>
                </c:pt>
                <c:pt idx="39" formatCode="_(* #,##0.00_);_(* \(#,##0.00\);_(* &quot;-&quot;??_);_(@_)">
                  <c:v>1248.5200000000002</c:v>
                </c:pt>
                <c:pt idx="40" formatCode="_(* #,##0.00_);_(* \(#,##0.00\);_(* &quot;-&quot;??_);_(@_)">
                  <c:v>1275.8410000000001</c:v>
                </c:pt>
                <c:pt idx="41" formatCode="_(* #,##0.00_);_(* \(#,##0.00\);_(* &quot;-&quot;??_);_(@_)">
                  <c:v>1303.162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72-47A0-8752-43930A20D413}"/>
            </c:ext>
          </c:extLst>
        </c:ser>
        <c:ser>
          <c:idx val="2"/>
          <c:order val="2"/>
          <c:tx>
            <c:v>Beneficio</c:v>
          </c:tx>
          <c:marker>
            <c:symbol val="none"/>
          </c:marker>
          <c:cat>
            <c:numRef>
              <c:f>Conjuntivitis!$A$12:$A$53</c:f>
              <c:numCache>
                <c:formatCode>General</c:formatCode>
                <c:ptCount val="4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  <c:pt idx="28">
                  <c:v>2030</c:v>
                </c:pt>
                <c:pt idx="29">
                  <c:v>2031</c:v>
                </c:pt>
                <c:pt idx="30">
                  <c:v>2032</c:v>
                </c:pt>
                <c:pt idx="31">
                  <c:v>2033</c:v>
                </c:pt>
                <c:pt idx="32">
                  <c:v>2034</c:v>
                </c:pt>
                <c:pt idx="33">
                  <c:v>2035</c:v>
                </c:pt>
                <c:pt idx="34">
                  <c:v>2036</c:v>
                </c:pt>
                <c:pt idx="35">
                  <c:v>2037</c:v>
                </c:pt>
                <c:pt idx="36">
                  <c:v>2038</c:v>
                </c:pt>
                <c:pt idx="37">
                  <c:v>2039</c:v>
                </c:pt>
                <c:pt idx="38">
                  <c:v>2040</c:v>
                </c:pt>
                <c:pt idx="39">
                  <c:v>2041</c:v>
                </c:pt>
                <c:pt idx="40">
                  <c:v>2042</c:v>
                </c:pt>
                <c:pt idx="41">
                  <c:v>2043</c:v>
                </c:pt>
              </c:numCache>
            </c:numRef>
          </c:cat>
          <c:val>
            <c:numRef>
              <c:f>Conjuntivitis!$H$12:$H$53</c:f>
              <c:numCache>
                <c:formatCode>General</c:formatCode>
                <c:ptCount val="42"/>
                <c:pt idx="14" formatCode="_(* #,##0.00_);_(* \(#,##0.00\);_(* &quot;-&quot;??_);_(@_)">
                  <c:v>565.495</c:v>
                </c:pt>
                <c:pt idx="15" formatCode="_(* #,##0.00_);_(* \(#,##0.00\);_(* &quot;-&quot;??_);_(@_)">
                  <c:v>592.81600000000003</c:v>
                </c:pt>
                <c:pt idx="16" formatCode="_(* #,##0.00_);_(* \(#,##0.00\);_(* &quot;-&quot;??_);_(@_)">
                  <c:v>620.13700000000006</c:v>
                </c:pt>
                <c:pt idx="17" formatCode="_(* #,##0.00_);_(* \(#,##0.00\);_(* &quot;-&quot;??_);_(@_)">
                  <c:v>643.69887884615389</c:v>
                </c:pt>
                <c:pt idx="18" formatCode="_(* #,##0.00_);_(* \(#,##0.00\);_(* &quot;-&quot;??_);_(@_)">
                  <c:v>667.26075769230772</c:v>
                </c:pt>
                <c:pt idx="19" formatCode="_(* #,##0.00_);_(* \(#,##0.00\);_(* &quot;-&quot;??_);_(@_)">
                  <c:v>690.82263653846155</c:v>
                </c:pt>
                <c:pt idx="20" formatCode="_(* #,##0.00_);_(* \(#,##0.00\);_(* &quot;-&quot;??_);_(@_)">
                  <c:v>714.38451538461538</c:v>
                </c:pt>
                <c:pt idx="21" formatCode="_(* #,##0.00_);_(* \(#,##0.00\);_(* &quot;-&quot;??_);_(@_)">
                  <c:v>737.94639423076922</c:v>
                </c:pt>
                <c:pt idx="22" formatCode="_(* #,##0.00_);_(* \(#,##0.00\);_(* &quot;-&quot;??_);_(@_)">
                  <c:v>761.50827307692305</c:v>
                </c:pt>
                <c:pt idx="23" formatCode="_(* #,##0.00_);_(* \(#,##0.00\);_(* &quot;-&quot;??_);_(@_)">
                  <c:v>785.07015192307688</c:v>
                </c:pt>
                <c:pt idx="24" formatCode="_(* #,##0.00_);_(* \(#,##0.00\);_(* &quot;-&quot;??_);_(@_)">
                  <c:v>808.63203076923071</c:v>
                </c:pt>
                <c:pt idx="25" formatCode="_(* #,##0.00_);_(* \(#,##0.00\);_(* &quot;-&quot;??_);_(@_)">
                  <c:v>832.19390961538454</c:v>
                </c:pt>
                <c:pt idx="26" formatCode="_(* #,##0.00_);_(* \(#,##0.00\);_(* &quot;-&quot;??_);_(@_)">
                  <c:v>855.75578846153837</c:v>
                </c:pt>
                <c:pt idx="27" formatCode="_(* #,##0.00_);_(* \(#,##0.00\);_(* &quot;-&quot;??_);_(@_)">
                  <c:v>879.3176673076922</c:v>
                </c:pt>
                <c:pt idx="28" formatCode="_(* #,##0.00_);_(* \(#,##0.00\);_(* &quot;-&quot;??_);_(@_)">
                  <c:v>902.87954615384604</c:v>
                </c:pt>
                <c:pt idx="29" formatCode="_(* #,##0.00_);_(* \(#,##0.00\);_(* &quot;-&quot;??_);_(@_)">
                  <c:v>926.44142499999987</c:v>
                </c:pt>
                <c:pt idx="30" formatCode="_(* #,##0.00_);_(* \(#,##0.00\);_(* &quot;-&quot;??_);_(@_)">
                  <c:v>950.0033038461537</c:v>
                </c:pt>
                <c:pt idx="31" formatCode="_(* #,##0.00_);_(* \(#,##0.00\);_(* &quot;-&quot;??_);_(@_)">
                  <c:v>973.56518269230753</c:v>
                </c:pt>
                <c:pt idx="32" formatCode="_(* #,##0.00_);_(* \(#,##0.00\);_(* &quot;-&quot;??_);_(@_)">
                  <c:v>997.12706153846136</c:v>
                </c:pt>
                <c:pt idx="33" formatCode="_(* #,##0.00_);_(* \(#,##0.00\);_(* &quot;-&quot;??_);_(@_)">
                  <c:v>1020.6889403846152</c:v>
                </c:pt>
                <c:pt idx="34" formatCode="_(* #,##0.00_);_(* \(#,##0.00\);_(* &quot;-&quot;??_);_(@_)">
                  <c:v>1044.2508192307691</c:v>
                </c:pt>
                <c:pt idx="35" formatCode="_(* #,##0.00_);_(* \(#,##0.00\);_(* &quot;-&quot;??_);_(@_)">
                  <c:v>1067.812698076923</c:v>
                </c:pt>
                <c:pt idx="36" formatCode="_(* #,##0.00_);_(* \(#,##0.00\);_(* &quot;-&quot;??_);_(@_)">
                  <c:v>1091.3745769230768</c:v>
                </c:pt>
                <c:pt idx="37" formatCode="_(* #,##0.00_);_(* \(#,##0.00\);_(* &quot;-&quot;??_);_(@_)">
                  <c:v>1114.9364557692306</c:v>
                </c:pt>
                <c:pt idx="38" formatCode="_(* #,##0.00_);_(* \(#,##0.00\);_(* &quot;-&quot;??_);_(@_)">
                  <c:v>1138.4983346153845</c:v>
                </c:pt>
                <c:pt idx="39" formatCode="_(* #,##0.00_);_(* \(#,##0.00\);_(* &quot;-&quot;??_);_(@_)">
                  <c:v>1162.0602134615383</c:v>
                </c:pt>
                <c:pt idx="40" formatCode="_(* #,##0.00_);_(* \(#,##0.00\);_(* &quot;-&quot;??_);_(@_)">
                  <c:v>1185.6220923076921</c:v>
                </c:pt>
                <c:pt idx="41" formatCode="_(* #,##0.00_);_(* \(#,##0.00\);_(* &quot;-&quot;??_);_(@_)">
                  <c:v>1205.4248500000001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72-47A0-8752-43930A20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26016"/>
        <c:axId val="131127552"/>
      </c:lineChart>
      <c:catAx>
        <c:axId val="1311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131127552"/>
        <c:crosses val="autoZero"/>
        <c:auto val="1"/>
        <c:lblAlgn val="ctr"/>
        <c:lblOffset val="100"/>
        <c:noMultiLvlLbl val="0"/>
      </c:catAx>
      <c:valAx>
        <c:axId val="1311275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1126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Conjuntivitis!$A$12:$A$25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Conjuntivitis!$D$12:$D$25</c:f>
              <c:numCache>
                <c:formatCode>_-* #,##0_-;\-* #,##0_-;_-* "-"??_-;_-@_-</c:formatCode>
                <c:ptCount val="14"/>
                <c:pt idx="0">
                  <c:v>203868</c:v>
                </c:pt>
                <c:pt idx="1">
                  <c:v>418569</c:v>
                </c:pt>
                <c:pt idx="2">
                  <c:v>156615</c:v>
                </c:pt>
                <c:pt idx="3">
                  <c:v>263221</c:v>
                </c:pt>
                <c:pt idx="4">
                  <c:v>322095</c:v>
                </c:pt>
                <c:pt idx="5">
                  <c:v>350610</c:v>
                </c:pt>
                <c:pt idx="6">
                  <c:v>348567</c:v>
                </c:pt>
                <c:pt idx="7">
                  <c:v>374261</c:v>
                </c:pt>
                <c:pt idx="8">
                  <c:v>499666</c:v>
                </c:pt>
                <c:pt idx="9">
                  <c:v>444342</c:v>
                </c:pt>
                <c:pt idx="10">
                  <c:v>425721</c:v>
                </c:pt>
                <c:pt idx="11">
                  <c:v>430479</c:v>
                </c:pt>
                <c:pt idx="12">
                  <c:v>456283</c:v>
                </c:pt>
                <c:pt idx="13">
                  <c:v>834313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6-427B-A8CF-4283C3F61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79808"/>
        <c:axId val="131481600"/>
      </c:barChart>
      <c:catAx>
        <c:axId val="13147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MX"/>
          </a:p>
        </c:txPr>
        <c:crossAx val="131481600"/>
        <c:crosses val="autoZero"/>
        <c:auto val="1"/>
        <c:lblAlgn val="ctr"/>
        <c:lblOffset val="100"/>
        <c:noMultiLvlLbl val="0"/>
      </c:catAx>
      <c:valAx>
        <c:axId val="13148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CASOS</a:t>
                </a:r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13147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exp"/>
            <c:dispRSqr val="1"/>
            <c:dispEq val="1"/>
            <c:trendlineLbl>
              <c:layout>
                <c:manualLayout>
                  <c:x val="0.32037576552930885"/>
                  <c:y val="0.33676727909011372"/>
                </c:manualLayout>
              </c:layout>
              <c:numFmt formatCode="General" sourceLinked="0"/>
            </c:trendlineLbl>
          </c:trendline>
          <c:cat>
            <c:numRef>
              <c:f>IRAS!$A$11:$A$56</c:f>
              <c:numCache>
                <c:formatCode>General</c:formatCode>
                <c:ptCount val="46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  <c:pt idx="27">
                  <c:v>2025</c:v>
                </c:pt>
                <c:pt idx="28">
                  <c:v>2026</c:v>
                </c:pt>
                <c:pt idx="29">
                  <c:v>2027</c:v>
                </c:pt>
                <c:pt idx="30">
                  <c:v>2028</c:v>
                </c:pt>
                <c:pt idx="31">
                  <c:v>2029</c:v>
                </c:pt>
                <c:pt idx="32">
                  <c:v>2030</c:v>
                </c:pt>
                <c:pt idx="33">
                  <c:v>2031</c:v>
                </c:pt>
                <c:pt idx="34">
                  <c:v>2032</c:v>
                </c:pt>
                <c:pt idx="35">
                  <c:v>2033</c:v>
                </c:pt>
                <c:pt idx="36">
                  <c:v>2034</c:v>
                </c:pt>
                <c:pt idx="37">
                  <c:v>2035</c:v>
                </c:pt>
                <c:pt idx="38">
                  <c:v>2036</c:v>
                </c:pt>
                <c:pt idx="39">
                  <c:v>2037</c:v>
                </c:pt>
                <c:pt idx="40">
                  <c:v>2038</c:v>
                </c:pt>
                <c:pt idx="41">
                  <c:v>2039</c:v>
                </c:pt>
                <c:pt idx="42">
                  <c:v>2040</c:v>
                </c:pt>
                <c:pt idx="43">
                  <c:v>2041</c:v>
                </c:pt>
                <c:pt idx="44">
                  <c:v>2042</c:v>
                </c:pt>
                <c:pt idx="45">
                  <c:v>2043</c:v>
                </c:pt>
              </c:numCache>
            </c:numRef>
          </c:cat>
          <c:val>
            <c:numRef>
              <c:f>IRAS!$D$11:$D$29</c:f>
              <c:numCache>
                <c:formatCode>_-* #,##0_-;\-* #,##0_-;_-* "-"??_-;_-@_-</c:formatCode>
                <c:ptCount val="19"/>
                <c:pt idx="0">
                  <c:v>25868</c:v>
                </c:pt>
                <c:pt idx="1">
                  <c:v>28024</c:v>
                </c:pt>
                <c:pt idx="2">
                  <c:v>26863</c:v>
                </c:pt>
                <c:pt idx="3">
                  <c:v>26484</c:v>
                </c:pt>
                <c:pt idx="4">
                  <c:v>28061</c:v>
                </c:pt>
                <c:pt idx="5">
                  <c:v>23800</c:v>
                </c:pt>
                <c:pt idx="6">
                  <c:v>23930</c:v>
                </c:pt>
                <c:pt idx="7">
                  <c:v>24340</c:v>
                </c:pt>
                <c:pt idx="8">
                  <c:v>21519</c:v>
                </c:pt>
                <c:pt idx="9">
                  <c:v>22440</c:v>
                </c:pt>
                <c:pt idx="10">
                  <c:v>20938</c:v>
                </c:pt>
                <c:pt idx="11">
                  <c:v>27226</c:v>
                </c:pt>
                <c:pt idx="12">
                  <c:v>24235</c:v>
                </c:pt>
                <c:pt idx="13">
                  <c:v>21891</c:v>
                </c:pt>
                <c:pt idx="14">
                  <c:v>22388</c:v>
                </c:pt>
                <c:pt idx="15">
                  <c:v>22231</c:v>
                </c:pt>
                <c:pt idx="16">
                  <c:v>22105</c:v>
                </c:pt>
                <c:pt idx="17">
                  <c:v>19310</c:v>
                </c:pt>
                <c:pt idx="18">
                  <c:v>18694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F-4110-A4D0-A30223713DCC}"/>
            </c:ext>
          </c:extLst>
        </c:ser>
        <c:ser>
          <c:idx val="1"/>
          <c:order val="1"/>
          <c:tx>
            <c:v>Proyección</c:v>
          </c:tx>
          <c:marker>
            <c:symbol val="none"/>
          </c:marker>
          <c:val>
            <c:numRef>
              <c:f>IRAS!$E$11:$E$56</c:f>
              <c:numCache>
                <c:formatCode>General</c:formatCode>
                <c:ptCount val="46"/>
                <c:pt idx="19" formatCode="_-* #,##0_-;\-* #,##0_-;_-* &quot;-&quot;??_-;_-@_-">
                  <c:v>20153</c:v>
                </c:pt>
                <c:pt idx="20" formatCode="_-* #,##0_-;\-* #,##0_-;_-* &quot;-&quot;??_-;_-@_-">
                  <c:v>19813</c:v>
                </c:pt>
                <c:pt idx="21" formatCode="_-* #,##0_-;\-* #,##0_-;_-* &quot;-&quot;??_-;_-@_-">
                  <c:v>19479</c:v>
                </c:pt>
                <c:pt idx="22" formatCode="_-* #,##0_-;\-* #,##0_-;_-* &quot;-&quot;??_-;_-@_-">
                  <c:v>19151</c:v>
                </c:pt>
                <c:pt idx="23" formatCode="_-* #,##0_-;\-* #,##0_-;_-* &quot;-&quot;??_-;_-@_-">
                  <c:v>18828</c:v>
                </c:pt>
                <c:pt idx="24" formatCode="_-* #,##0_-;\-* #,##0_-;_-* &quot;-&quot;??_-;_-@_-">
                  <c:v>18511</c:v>
                </c:pt>
                <c:pt idx="25" formatCode="_-* #,##0_-;\-* #,##0_-;_-* &quot;-&quot;??_-;_-@_-">
                  <c:v>18198</c:v>
                </c:pt>
                <c:pt idx="26" formatCode="_-* #,##0_-;\-* #,##0_-;_-* &quot;-&quot;??_-;_-@_-">
                  <c:v>17892</c:v>
                </c:pt>
                <c:pt idx="27" formatCode="_-* #,##0_-;\-* #,##0_-;_-* &quot;-&quot;??_-;_-@_-">
                  <c:v>17590</c:v>
                </c:pt>
                <c:pt idx="28" formatCode="_-* #,##0_-;\-* #,##0_-;_-* &quot;-&quot;??_-;_-@_-">
                  <c:v>17294</c:v>
                </c:pt>
                <c:pt idx="29" formatCode="_-* #,##0_-;\-* #,##0_-;_-* &quot;-&quot;??_-;_-@_-">
                  <c:v>17002</c:v>
                </c:pt>
                <c:pt idx="30" formatCode="_-* #,##0_-;\-* #,##0_-;_-* &quot;-&quot;??_-;_-@_-">
                  <c:v>16715</c:v>
                </c:pt>
                <c:pt idx="31" formatCode="_-* #,##0_-;\-* #,##0_-;_-* &quot;-&quot;??_-;_-@_-">
                  <c:v>16434</c:v>
                </c:pt>
                <c:pt idx="32" formatCode="_-* #,##0_-;\-* #,##0_-;_-* &quot;-&quot;??_-;_-@_-">
                  <c:v>16157</c:v>
                </c:pt>
                <c:pt idx="33" formatCode="_-* #,##0_-;\-* #,##0_-;_-* &quot;-&quot;??_-;_-@_-">
                  <c:v>15884</c:v>
                </c:pt>
                <c:pt idx="34" formatCode="_-* #,##0_-;\-* #,##0_-;_-* &quot;-&quot;??_-;_-@_-">
                  <c:v>15617</c:v>
                </c:pt>
                <c:pt idx="35" formatCode="_-* #,##0_-;\-* #,##0_-;_-* &quot;-&quot;??_-;_-@_-">
                  <c:v>15353</c:v>
                </c:pt>
                <c:pt idx="36" formatCode="_-* #,##0_-;\-* #,##0_-;_-* &quot;-&quot;??_-;_-@_-">
                  <c:v>15095</c:v>
                </c:pt>
                <c:pt idx="37" formatCode="_-* #,##0_-;\-* #,##0_-;_-* &quot;-&quot;??_-;_-@_-">
                  <c:v>14840</c:v>
                </c:pt>
                <c:pt idx="38" formatCode="_-* #,##0_-;\-* #,##0_-;_-* &quot;-&quot;??_-;_-@_-">
                  <c:v>14590</c:v>
                </c:pt>
                <c:pt idx="39" formatCode="_-* #,##0_-;\-* #,##0_-;_-* &quot;-&quot;??_-;_-@_-">
                  <c:v>14344</c:v>
                </c:pt>
                <c:pt idx="40" formatCode="_-* #,##0_-;\-* #,##0_-;_-* &quot;-&quot;??_-;_-@_-">
                  <c:v>14102</c:v>
                </c:pt>
                <c:pt idx="41" formatCode="_-* #,##0_-;\-* #,##0_-;_-* &quot;-&quot;??_-;_-@_-">
                  <c:v>13864</c:v>
                </c:pt>
                <c:pt idx="42" formatCode="_-* #,##0_-;\-* #,##0_-;_-* &quot;-&quot;??_-;_-@_-">
                  <c:v>13631</c:v>
                </c:pt>
                <c:pt idx="43" formatCode="_-* #,##0_-;\-* #,##0_-;_-* &quot;-&quot;??_-;_-@_-">
                  <c:v>13401</c:v>
                </c:pt>
                <c:pt idx="44" formatCode="_-* #,##0_-;\-* #,##0_-;_-* &quot;-&quot;??_-;_-@_-">
                  <c:v>13175</c:v>
                </c:pt>
                <c:pt idx="45" formatCode="_-* #,##0_-;\-* #,##0_-;_-* &quot;-&quot;??_-;_-@_-">
                  <c:v>12953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F-4110-A4D0-A30223713DCC}"/>
            </c:ext>
          </c:extLst>
        </c:ser>
        <c:ser>
          <c:idx val="2"/>
          <c:order val="2"/>
          <c:tx>
            <c:v>Beneficio</c:v>
          </c:tx>
          <c:marker>
            <c:symbol val="none"/>
          </c:marker>
          <c:val>
            <c:numRef>
              <c:f>IRAS!$F$11:$F$56</c:f>
              <c:numCache>
                <c:formatCode>General</c:formatCode>
                <c:ptCount val="46"/>
                <c:pt idx="19" formatCode="0">
                  <c:v>20152.845973993932</c:v>
                </c:pt>
                <c:pt idx="20" formatCode="0">
                  <c:v>19813</c:v>
                </c:pt>
                <c:pt idx="21" formatCode="0">
                  <c:v>19402.181686696997</c:v>
                </c:pt>
                <c:pt idx="22" formatCode="0">
                  <c:v>19037.400997684908</c:v>
                </c:pt>
                <c:pt idx="23" formatCode="0">
                  <c:v>18679.478555504276</c:v>
                </c:pt>
                <c:pt idx="24" formatCode="0">
                  <c:v>18328.285418160587</c:v>
                </c:pt>
                <c:pt idx="25" formatCode="0">
                  <c:v>17983.695067899567</c:v>
                </c:pt>
                <c:pt idx="26" formatCode="0">
                  <c:v>17645.583365629012</c:v>
                </c:pt>
                <c:pt idx="27" formatCode="0">
                  <c:v>17313.828506197522</c:v>
                </c:pt>
                <c:pt idx="28" formatCode="0">
                  <c:v>16988.31097451405</c:v>
                </c:pt>
                <c:pt idx="29" formatCode="0">
                  <c:v>16668.913502492447</c:v>
                </c:pt>
                <c:pt idx="30" formatCode="0">
                  <c:v>16355.521026805493</c:v>
                </c:pt>
                <c:pt idx="31" formatCode="0">
                  <c:v>16048.020647433183</c:v>
                </c:pt>
                <c:pt idx="32" formatCode="0">
                  <c:v>15746.301586990372</c:v>
                </c:pt>
                <c:pt idx="33" formatCode="0">
                  <c:v>15450.255150819085</c:v>
                </c:pt>
                <c:pt idx="34" formatCode="0">
                  <c:v>15159.774687831121</c:v>
                </c:pt>
                <c:pt idx="35" formatCode="0">
                  <c:v>14874.755552086881</c:v>
                </c:pt>
                <c:pt idx="36" formatCode="0">
                  <c:v>14595.095065096548</c:v>
                </c:pt>
                <c:pt idx="37" formatCode="0">
                  <c:v>14320.692478830013</c:v>
                </c:pt>
                <c:pt idx="38" formatCode="0">
                  <c:v>14051.448939422298</c:v>
                </c:pt>
                <c:pt idx="39" formatCode="0">
                  <c:v>13787.26745156132</c:v>
                </c:pt>
                <c:pt idx="40" formatCode="0">
                  <c:v>13528.052843545211</c:v>
                </c:pt>
                <c:pt idx="41" formatCode="0">
                  <c:v>13273.711732996604</c:v>
                </c:pt>
                <c:pt idx="42" formatCode="0">
                  <c:v>13024.152493221511</c:v>
                </c:pt>
                <c:pt idx="43" formatCode="0">
                  <c:v>12779.285220200696</c:v>
                </c:pt>
                <c:pt idx="44" formatCode="0">
                  <c:v>12539.021700201652</c:v>
                </c:pt>
                <c:pt idx="45" formatCode="0">
                  <c:v>12303.275377999484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0F-4110-A4D0-A3022371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42400"/>
        <c:axId val="131143936"/>
      </c:lineChart>
      <c:catAx>
        <c:axId val="1311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143936"/>
        <c:crosses val="autoZero"/>
        <c:auto val="1"/>
        <c:lblAlgn val="ctr"/>
        <c:lblOffset val="100"/>
        <c:noMultiLvlLbl val="0"/>
      </c:catAx>
      <c:valAx>
        <c:axId val="1311439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31142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IRAS!$A$11:$A$27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IRAS!$C$11:$C$28</c:f>
              <c:numCache>
                <c:formatCode>_-* #,##0_-;\-* #,##0_-;_-* "-"??_-;_-@_-</c:formatCode>
                <c:ptCount val="18"/>
                <c:pt idx="0">
                  <c:v>25476819</c:v>
                </c:pt>
                <c:pt idx="1">
                  <c:v>27941744</c:v>
                </c:pt>
                <c:pt idx="2">
                  <c:v>27103834</c:v>
                </c:pt>
                <c:pt idx="3">
                  <c:v>27046941</c:v>
                </c:pt>
                <c:pt idx="4">
                  <c:v>29021041</c:v>
                </c:pt>
                <c:pt idx="5">
                  <c:v>24924283</c:v>
                </c:pt>
                <c:pt idx="6">
                  <c:v>25355017</c:v>
                </c:pt>
                <c:pt idx="7">
                  <c:v>26081448</c:v>
                </c:pt>
                <c:pt idx="8">
                  <c:v>23328650</c:v>
                </c:pt>
                <c:pt idx="9">
                  <c:v>24636341</c:v>
                </c:pt>
                <c:pt idx="10">
                  <c:v>23304046</c:v>
                </c:pt>
                <c:pt idx="11">
                  <c:v>30725585</c:v>
                </c:pt>
                <c:pt idx="12">
                  <c:v>27690235</c:v>
                </c:pt>
                <c:pt idx="13">
                  <c:v>25324245</c:v>
                </c:pt>
                <c:pt idx="14">
                  <c:v>26206965</c:v>
                </c:pt>
                <c:pt idx="15">
                  <c:v>26320459</c:v>
                </c:pt>
                <c:pt idx="16">
                  <c:v>26462738</c:v>
                </c:pt>
                <c:pt idx="17">
                  <c:v>23366631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E-4C43-9D71-1F52C410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76320"/>
        <c:axId val="131177856"/>
      </c:barChart>
      <c:catAx>
        <c:axId val="1311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177856"/>
        <c:crosses val="autoZero"/>
        <c:auto val="1"/>
        <c:lblAlgn val="ctr"/>
        <c:lblOffset val="100"/>
        <c:noMultiLvlLbl val="0"/>
      </c:catAx>
      <c:valAx>
        <c:axId val="13117785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31176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257175</xdr:colOff>
      <xdr:row>28</xdr:row>
      <xdr:rowOff>104775</xdr:rowOff>
    </xdr:from>
    <xdr:to>
      <xdr:col>31</xdr:col>
      <xdr:colOff>542925</xdr:colOff>
      <xdr:row>56</xdr:row>
      <xdr:rowOff>33337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588757</xdr:colOff>
      <xdr:row>6</xdr:row>
      <xdr:rowOff>150770</xdr:rowOff>
    </xdr:from>
    <xdr:to>
      <xdr:col>18</xdr:col>
      <xdr:colOff>122033</xdr:colOff>
      <xdr:row>26</xdr:row>
      <xdr:rowOff>14856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1</xdr:row>
      <xdr:rowOff>132292</xdr:rowOff>
    </xdr:from>
    <xdr:to>
      <xdr:col>26</xdr:col>
      <xdr:colOff>138641</xdr:colOff>
      <xdr:row>22</xdr:row>
      <xdr:rowOff>89958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202405</xdr:colOff>
      <xdr:row>0</xdr:row>
      <xdr:rowOff>50005</xdr:rowOff>
    </xdr:from>
    <xdr:to>
      <xdr:col>18</xdr:col>
      <xdr:colOff>578644</xdr:colOff>
      <xdr:row>16</xdr:row>
      <xdr:rowOff>102393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35720</xdr:colOff>
      <xdr:row>33</xdr:row>
      <xdr:rowOff>158352</xdr:rowOff>
    </xdr:from>
    <xdr:to>
      <xdr:col>22</xdr:col>
      <xdr:colOff>35720</xdr:colOff>
      <xdr:row>48</xdr:row>
      <xdr:rowOff>44052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6</xdr:row>
      <xdr:rowOff>0</xdr:rowOff>
    </xdr:from>
    <xdr:to>
      <xdr:col>14</xdr:col>
      <xdr:colOff>762000</xdr:colOff>
      <xdr:row>19</xdr:row>
      <xdr:rowOff>119062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6</xdr:row>
      <xdr:rowOff>47625</xdr:rowOff>
    </xdr:from>
    <xdr:to>
      <xdr:col>20</xdr:col>
      <xdr:colOff>247650</xdr:colOff>
      <xdr:row>17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pidemiologia.salud.gob.mx/dgae/boletin/intd_historico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pidemiologia.salud.gob.mx/dgae/boletin/intd_historicos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T57"/>
  <sheetViews>
    <sheetView topLeftCell="A10" workbookViewId="0">
      <selection activeCell="S48" sqref="S48"/>
    </sheetView>
  </sheetViews>
  <sheetFormatPr baseColWidth="10" defaultRowHeight="15"/>
  <cols>
    <col min="3" max="3" width="35.140625" customWidth="1"/>
    <col min="4" max="4" width="15.5703125" bestFit="1" customWidth="1"/>
    <col min="5" max="5" width="16.28515625" customWidth="1"/>
    <col min="6" max="6" width="16.42578125" customWidth="1"/>
    <col min="7" max="7" width="17.140625" customWidth="1"/>
    <col min="8" max="8" width="15.5703125" bestFit="1" customWidth="1"/>
    <col min="9" max="9" width="13.140625" bestFit="1" customWidth="1"/>
    <col min="10" max="10" width="14.7109375" customWidth="1"/>
    <col min="11" max="12" width="13.140625" bestFit="1" customWidth="1"/>
    <col min="14" max="14" width="12.85546875" customWidth="1"/>
    <col min="15" max="15" width="16.7109375" customWidth="1"/>
    <col min="17" max="17" width="16" customWidth="1"/>
    <col min="18" max="18" width="14" customWidth="1"/>
    <col min="19" max="19" width="13.7109375" customWidth="1"/>
    <col min="20" max="20" width="13" customWidth="1"/>
    <col min="22" max="22" width="12.7109375" customWidth="1"/>
  </cols>
  <sheetData>
    <row r="11" spans="3:15">
      <c r="C11" t="s">
        <v>6</v>
      </c>
    </row>
    <row r="14" spans="3:15">
      <c r="D14">
        <v>2002</v>
      </c>
      <c r="E14">
        <v>2003</v>
      </c>
      <c r="F14">
        <v>2004</v>
      </c>
      <c r="G14">
        <v>2005</v>
      </c>
      <c r="H14">
        <v>2006</v>
      </c>
      <c r="I14">
        <v>2007</v>
      </c>
      <c r="J14">
        <v>2008</v>
      </c>
      <c r="K14">
        <v>2009</v>
      </c>
      <c r="L14">
        <v>2010</v>
      </c>
      <c r="M14">
        <v>2011</v>
      </c>
      <c r="N14">
        <v>2012</v>
      </c>
      <c r="O14">
        <v>2013</v>
      </c>
    </row>
    <row r="15" spans="3:15" ht="30">
      <c r="C15" s="4" t="s">
        <v>0</v>
      </c>
      <c r="D15" s="2">
        <v>6831630</v>
      </c>
      <c r="E15" s="2">
        <v>6191011</v>
      </c>
      <c r="F15" s="2">
        <v>5951869</v>
      </c>
      <c r="G15" s="2">
        <v>5912952</v>
      </c>
      <c r="H15" s="2">
        <v>5765081</v>
      </c>
      <c r="I15" s="7">
        <v>5533670</v>
      </c>
      <c r="J15" s="8">
        <v>5500546</v>
      </c>
      <c r="K15" s="8">
        <v>5564841</v>
      </c>
      <c r="L15" s="8">
        <v>5681091</v>
      </c>
    </row>
    <row r="16" spans="3:15">
      <c r="C16" s="4" t="s">
        <v>1</v>
      </c>
      <c r="D16" s="2">
        <v>31473</v>
      </c>
      <c r="E16" s="2">
        <v>27704</v>
      </c>
      <c r="F16" s="2">
        <v>22321</v>
      </c>
      <c r="G16" s="2">
        <v>19441</v>
      </c>
      <c r="H16" s="2">
        <v>16483</v>
      </c>
      <c r="I16" s="7">
        <v>14799</v>
      </c>
      <c r="J16" s="8">
        <v>12885</v>
      </c>
      <c r="K16" s="8">
        <v>13136</v>
      </c>
      <c r="L16" s="8">
        <v>11378</v>
      </c>
    </row>
    <row r="17" spans="3:20">
      <c r="C17" s="4" t="s">
        <v>2</v>
      </c>
      <c r="D17" s="2">
        <v>7889</v>
      </c>
      <c r="E17" s="2">
        <v>20020</v>
      </c>
      <c r="F17" s="2">
        <v>25952</v>
      </c>
      <c r="G17" s="2">
        <v>31790</v>
      </c>
      <c r="H17" s="2">
        <v>37012</v>
      </c>
      <c r="I17" s="7">
        <v>14799</v>
      </c>
      <c r="J17" s="8">
        <v>12885</v>
      </c>
      <c r="K17" s="8">
        <v>13136</v>
      </c>
      <c r="L17" s="8">
        <v>11378</v>
      </c>
    </row>
    <row r="18" spans="3:20">
      <c r="C18" s="4" t="s">
        <v>3</v>
      </c>
      <c r="D18" s="2">
        <v>80494</v>
      </c>
      <c r="E18" s="2">
        <v>102754</v>
      </c>
      <c r="F18" s="2">
        <v>109444</v>
      </c>
      <c r="G18" s="2">
        <v>109536</v>
      </c>
      <c r="H18" s="2">
        <v>115014</v>
      </c>
      <c r="I18" s="7">
        <v>44076</v>
      </c>
      <c r="J18" s="8">
        <v>44199</v>
      </c>
      <c r="K18" s="8">
        <v>46174</v>
      </c>
      <c r="L18" s="8">
        <v>45094</v>
      </c>
    </row>
    <row r="19" spans="3:20" ht="30">
      <c r="C19" s="5" t="s">
        <v>4</v>
      </c>
      <c r="D19" s="3">
        <v>5374980</v>
      </c>
      <c r="E19" s="1">
        <v>4823611</v>
      </c>
      <c r="F19" s="3">
        <v>4778135</v>
      </c>
      <c r="G19" s="3">
        <v>4765567</v>
      </c>
      <c r="H19" s="3">
        <v>476011</v>
      </c>
      <c r="I19" s="7">
        <v>122956</v>
      </c>
      <c r="J19" s="8">
        <v>120986</v>
      </c>
      <c r="K19" s="8">
        <v>139143</v>
      </c>
      <c r="L19" s="8">
        <v>120675</v>
      </c>
    </row>
    <row r="20" spans="3:20">
      <c r="C20" s="4" t="s">
        <v>5</v>
      </c>
      <c r="D20" s="2">
        <v>21659</v>
      </c>
      <c r="E20" s="2">
        <v>36057</v>
      </c>
      <c r="F20" s="2">
        <v>39947</v>
      </c>
      <c r="G20" s="2">
        <v>40599</v>
      </c>
      <c r="H20" s="2">
        <v>37987</v>
      </c>
      <c r="I20" s="7">
        <v>36121</v>
      </c>
      <c r="J20" s="8">
        <v>35887</v>
      </c>
      <c r="K20" s="8">
        <v>38555</v>
      </c>
      <c r="L20" s="8">
        <v>40987</v>
      </c>
    </row>
    <row r="22" spans="3:20">
      <c r="C22" s="6" t="s">
        <v>7</v>
      </c>
    </row>
    <row r="23" spans="3:20">
      <c r="C23" s="6" t="s">
        <v>8</v>
      </c>
    </row>
    <row r="24" spans="3:20">
      <c r="C24" s="6" t="s">
        <v>9</v>
      </c>
    </row>
    <row r="25" spans="3:20">
      <c r="C25" s="6" t="s">
        <v>10</v>
      </c>
    </row>
    <row r="27" spans="3:20">
      <c r="J27" t="s">
        <v>37</v>
      </c>
      <c r="S27" t="s">
        <v>34</v>
      </c>
    </row>
    <row r="28" spans="3:20" ht="75">
      <c r="J28" s="4" t="s">
        <v>0</v>
      </c>
      <c r="K28" s="4" t="s">
        <v>1</v>
      </c>
      <c r="L28" t="s">
        <v>12</v>
      </c>
      <c r="M28" s="4" t="s">
        <v>2</v>
      </c>
      <c r="N28" s="4" t="s">
        <v>3</v>
      </c>
      <c r="O28" s="5" t="s">
        <v>13</v>
      </c>
      <c r="P28" s="4" t="s">
        <v>5</v>
      </c>
      <c r="Q28" s="4" t="s">
        <v>33</v>
      </c>
      <c r="R28" s="4" t="s">
        <v>31</v>
      </c>
      <c r="S28" s="4" t="s">
        <v>36</v>
      </c>
      <c r="T28" s="4" t="s">
        <v>35</v>
      </c>
    </row>
    <row r="29" spans="3:20">
      <c r="I29" s="9">
        <v>2002</v>
      </c>
      <c r="J29" s="20">
        <v>6831630</v>
      </c>
      <c r="K29" s="20">
        <v>31473</v>
      </c>
      <c r="M29" s="23">
        <v>7889</v>
      </c>
      <c r="N29" s="23">
        <v>80494</v>
      </c>
      <c r="O29" s="23">
        <v>5374980</v>
      </c>
      <c r="P29" s="24">
        <v>21659</v>
      </c>
      <c r="Q29" s="12">
        <f>SUM(M29:P29)</f>
        <v>5485022</v>
      </c>
      <c r="R29" s="17">
        <v>103417944</v>
      </c>
      <c r="S29" s="26">
        <f>100000*J29/R29</f>
        <v>6605.845886860795</v>
      </c>
      <c r="T29" s="26">
        <f t="shared" ref="T29:T43" si="0">100000*Q29/R29</f>
        <v>5303.7430332206177</v>
      </c>
    </row>
    <row r="30" spans="3:20">
      <c r="I30" s="9">
        <v>2003</v>
      </c>
      <c r="J30" s="7">
        <v>6191011</v>
      </c>
      <c r="K30" s="7">
        <v>27704</v>
      </c>
      <c r="M30" s="10">
        <v>20020</v>
      </c>
      <c r="N30" s="10">
        <v>102754</v>
      </c>
      <c r="O30" s="11">
        <v>4823611</v>
      </c>
      <c r="P30" s="2">
        <v>36057</v>
      </c>
      <c r="Q30" s="12">
        <f t="shared" ref="Q30:Q43" si="1">SUM(M30:P30)</f>
        <v>4982442</v>
      </c>
      <c r="R30" s="17">
        <v>104719891</v>
      </c>
      <c r="S30" s="26">
        <f t="shared" ref="S30:S43" si="2">100000*J30/R30</f>
        <v>5911.9723491690802</v>
      </c>
      <c r="T30" s="26">
        <f t="shared" si="0"/>
        <v>4757.8754641751875</v>
      </c>
    </row>
    <row r="31" spans="3:20">
      <c r="I31" s="9">
        <v>2004</v>
      </c>
      <c r="J31" s="7">
        <v>5951869</v>
      </c>
      <c r="K31" s="7">
        <v>22321</v>
      </c>
      <c r="M31" s="10">
        <v>25952</v>
      </c>
      <c r="N31" s="10">
        <v>109444</v>
      </c>
      <c r="O31" s="10">
        <v>4778135</v>
      </c>
      <c r="P31" s="2">
        <v>39947</v>
      </c>
      <c r="Q31" s="12">
        <f t="shared" si="1"/>
        <v>4953478</v>
      </c>
      <c r="R31" s="17">
        <v>105951569</v>
      </c>
      <c r="S31" s="26">
        <f t="shared" si="2"/>
        <v>5617.5373863505502</v>
      </c>
      <c r="T31" s="26">
        <f t="shared" si="0"/>
        <v>4675.2285471109917</v>
      </c>
    </row>
    <row r="32" spans="3:20">
      <c r="I32" s="9">
        <v>2005</v>
      </c>
      <c r="J32" s="7">
        <v>5912952</v>
      </c>
      <c r="K32" s="7">
        <v>19441</v>
      </c>
      <c r="M32" s="10">
        <v>31790</v>
      </c>
      <c r="N32" s="10">
        <v>109536</v>
      </c>
      <c r="O32" s="10">
        <v>4765567</v>
      </c>
      <c r="P32" s="2">
        <v>40599</v>
      </c>
      <c r="Q32" s="12">
        <f t="shared" si="1"/>
        <v>4947492</v>
      </c>
      <c r="R32" s="17">
        <v>107151011</v>
      </c>
      <c r="S32" s="26">
        <f t="shared" si="2"/>
        <v>5518.3352399726773</v>
      </c>
      <c r="T32" s="26">
        <f t="shared" si="0"/>
        <v>4617.3078105627956</v>
      </c>
    </row>
    <row r="33" spans="9:20">
      <c r="I33" s="9">
        <v>2006</v>
      </c>
      <c r="J33" s="7">
        <v>5765081</v>
      </c>
      <c r="K33" s="7">
        <v>16483</v>
      </c>
      <c r="M33" s="10">
        <v>37012</v>
      </c>
      <c r="N33" s="10">
        <v>115014</v>
      </c>
      <c r="O33" s="10">
        <v>4716011</v>
      </c>
      <c r="P33" s="2">
        <v>37987</v>
      </c>
      <c r="Q33" s="12">
        <f t="shared" si="1"/>
        <v>4906024</v>
      </c>
      <c r="R33" s="17">
        <v>108408827</v>
      </c>
      <c r="S33" s="26">
        <f t="shared" si="2"/>
        <v>5317.9073692956754</v>
      </c>
      <c r="T33" s="26">
        <f t="shared" si="0"/>
        <v>4525.4838888718905</v>
      </c>
    </row>
    <row r="34" spans="9:20">
      <c r="I34" s="9">
        <v>2007</v>
      </c>
      <c r="J34" s="7">
        <v>5533670</v>
      </c>
      <c r="K34" s="7">
        <v>14799</v>
      </c>
      <c r="M34" s="10">
        <v>44076</v>
      </c>
      <c r="N34" s="7">
        <v>122956</v>
      </c>
      <c r="O34" s="10">
        <v>4616080</v>
      </c>
      <c r="P34" s="2">
        <v>36121</v>
      </c>
      <c r="Q34" s="12">
        <f t="shared" si="1"/>
        <v>4819233</v>
      </c>
      <c r="R34" s="17">
        <v>109787388</v>
      </c>
      <c r="S34" s="26">
        <f t="shared" si="2"/>
        <v>5040.3512651198153</v>
      </c>
      <c r="T34" s="26">
        <f t="shared" si="0"/>
        <v>4389.6052978325706</v>
      </c>
    </row>
    <row r="35" spans="9:20">
      <c r="I35" s="9">
        <v>2008</v>
      </c>
      <c r="J35" s="8">
        <v>5500546</v>
      </c>
      <c r="K35" s="8">
        <v>12885</v>
      </c>
      <c r="M35" s="11">
        <v>44199</v>
      </c>
      <c r="N35" s="8">
        <v>120986</v>
      </c>
      <c r="O35" s="11">
        <v>4465091</v>
      </c>
      <c r="P35" s="2">
        <v>35887</v>
      </c>
      <c r="Q35" s="12">
        <f t="shared" si="1"/>
        <v>4666163</v>
      </c>
      <c r="R35" s="17">
        <v>111299015</v>
      </c>
      <c r="S35" s="26">
        <f t="shared" si="2"/>
        <v>4942.1335849198667</v>
      </c>
      <c r="T35" s="26">
        <f t="shared" si="0"/>
        <v>4192.4566897559698</v>
      </c>
    </row>
    <row r="36" spans="9:20">
      <c r="I36" s="9">
        <v>2009</v>
      </c>
      <c r="J36" s="8">
        <v>5564841</v>
      </c>
      <c r="K36" s="8">
        <v>13136</v>
      </c>
      <c r="M36" s="11">
        <v>46174</v>
      </c>
      <c r="N36" s="21">
        <v>139143</v>
      </c>
      <c r="O36" s="11">
        <v>4715783</v>
      </c>
      <c r="P36" s="2">
        <v>38555</v>
      </c>
      <c r="Q36" s="12">
        <f t="shared" si="1"/>
        <v>4939655</v>
      </c>
      <c r="R36" s="17">
        <v>112852594</v>
      </c>
      <c r="S36" s="26">
        <f t="shared" si="2"/>
        <v>4931.0705255033836</v>
      </c>
      <c r="T36" s="26">
        <f t="shared" si="0"/>
        <v>4377.0859179364543</v>
      </c>
    </row>
    <row r="37" spans="9:20">
      <c r="I37" s="9">
        <v>2010</v>
      </c>
      <c r="J37" s="8">
        <v>5705412</v>
      </c>
      <c r="K37" s="8">
        <v>11378</v>
      </c>
      <c r="L37" s="9" t="s">
        <v>11</v>
      </c>
      <c r="M37" s="11">
        <v>44757</v>
      </c>
      <c r="N37" s="11">
        <v>120414</v>
      </c>
      <c r="O37" s="11">
        <v>4923459</v>
      </c>
      <c r="P37" s="8">
        <v>40903</v>
      </c>
      <c r="Q37" s="12">
        <f t="shared" si="1"/>
        <v>5129533</v>
      </c>
      <c r="R37" s="15">
        <v>114255555.4490363</v>
      </c>
      <c r="S37" s="26">
        <f t="shared" si="2"/>
        <v>4993.5532478723972</v>
      </c>
      <c r="T37" s="26">
        <f t="shared" si="0"/>
        <v>4489.5261152426228</v>
      </c>
    </row>
    <row r="38" spans="9:20">
      <c r="I38" s="9">
        <v>2011</v>
      </c>
      <c r="J38" s="8">
        <v>6025664</v>
      </c>
      <c r="K38" s="8">
        <v>9975</v>
      </c>
      <c r="L38">
        <v>1</v>
      </c>
      <c r="M38" s="11">
        <v>48055</v>
      </c>
      <c r="N38" s="11">
        <v>122345</v>
      </c>
      <c r="O38" s="11">
        <v>5283896</v>
      </c>
      <c r="P38" s="8">
        <v>44467</v>
      </c>
      <c r="Q38" s="12">
        <f t="shared" si="1"/>
        <v>5498763</v>
      </c>
      <c r="R38" s="15">
        <v>115682867.70444767</v>
      </c>
      <c r="S38" s="26">
        <f t="shared" si="2"/>
        <v>5208.7782050793085</v>
      </c>
      <c r="T38" s="26">
        <f t="shared" si="0"/>
        <v>4753.3079954834038</v>
      </c>
    </row>
    <row r="39" spans="9:20">
      <c r="I39" s="9">
        <v>2012</v>
      </c>
      <c r="J39" s="8">
        <v>6045506</v>
      </c>
      <c r="K39" s="8">
        <v>8181</v>
      </c>
      <c r="L39">
        <v>2</v>
      </c>
      <c r="M39" s="22">
        <v>54147</v>
      </c>
      <c r="N39" s="11">
        <v>128434</v>
      </c>
      <c r="O39" s="11">
        <v>5345173</v>
      </c>
      <c r="P39" s="21">
        <v>47165</v>
      </c>
      <c r="Q39" s="25">
        <f t="shared" si="1"/>
        <v>5574919</v>
      </c>
      <c r="R39" s="15">
        <v>117053749.70031475</v>
      </c>
      <c r="S39" s="26">
        <f t="shared" si="2"/>
        <v>5164.7264743572277</v>
      </c>
      <c r="T39" s="26">
        <f t="shared" si="0"/>
        <v>4762.7000538411712</v>
      </c>
    </row>
    <row r="40" spans="9:20">
      <c r="I40" s="9">
        <v>2013</v>
      </c>
      <c r="J40" s="8">
        <v>5858072</v>
      </c>
      <c r="K40" s="8">
        <v>7125</v>
      </c>
      <c r="L40">
        <v>187</v>
      </c>
      <c r="M40" s="11">
        <v>53772</v>
      </c>
      <c r="N40" s="11">
        <v>84866</v>
      </c>
      <c r="O40" s="11">
        <v>5329815</v>
      </c>
      <c r="P40" s="8">
        <v>40147</v>
      </c>
      <c r="Q40" s="12">
        <f t="shared" si="1"/>
        <v>5508600</v>
      </c>
      <c r="R40" s="15">
        <v>118395053.83857793</v>
      </c>
      <c r="S40" s="26">
        <f t="shared" si="2"/>
        <v>4947.9026446383541</v>
      </c>
      <c r="T40" s="26">
        <f t="shared" si="0"/>
        <v>4652.7281515581981</v>
      </c>
    </row>
    <row r="41" spans="9:20">
      <c r="I41" s="9">
        <v>2014</v>
      </c>
      <c r="J41" s="8">
        <v>5386767</v>
      </c>
      <c r="K41" s="8">
        <v>5780</v>
      </c>
      <c r="L41">
        <v>14</v>
      </c>
      <c r="M41" s="11">
        <v>52209</v>
      </c>
      <c r="N41" s="11">
        <v>85584</v>
      </c>
      <c r="O41" s="11">
        <v>4821049</v>
      </c>
      <c r="P41" s="8">
        <v>36907</v>
      </c>
      <c r="Q41" s="12">
        <f t="shared" si="1"/>
        <v>4995749</v>
      </c>
      <c r="R41" s="15">
        <v>119713203.47999948</v>
      </c>
      <c r="S41" s="26">
        <f t="shared" si="2"/>
        <v>4499.7267163600454</v>
      </c>
      <c r="T41" s="26">
        <f t="shared" si="0"/>
        <v>4173.0977492675993</v>
      </c>
    </row>
    <row r="42" spans="9:20">
      <c r="I42" s="9">
        <v>2015</v>
      </c>
      <c r="J42" s="8">
        <v>5409628</v>
      </c>
      <c r="K42" s="8">
        <v>4225</v>
      </c>
      <c r="M42" s="8">
        <v>46503</v>
      </c>
      <c r="N42" s="8">
        <f>12473+75855</f>
        <v>88328</v>
      </c>
      <c r="O42" s="11">
        <v>4899424</v>
      </c>
      <c r="P42" s="8">
        <v>31846</v>
      </c>
      <c r="Q42" s="12">
        <f t="shared" si="1"/>
        <v>5066101</v>
      </c>
      <c r="R42" s="15">
        <v>121005815.41577512</v>
      </c>
      <c r="S42" s="26">
        <f t="shared" si="2"/>
        <v>4470.5520816603375</v>
      </c>
      <c r="T42" s="26">
        <f t="shared" si="0"/>
        <v>4186.6591143515816</v>
      </c>
    </row>
    <row r="43" spans="9:20">
      <c r="I43" s="9" t="s">
        <v>29</v>
      </c>
      <c r="J43" s="21">
        <f>2213443+2672084</f>
        <v>4885527</v>
      </c>
      <c r="K43" s="21">
        <f>1587+2081</f>
        <v>3668</v>
      </c>
      <c r="M43" s="8">
        <f>10656+25289</f>
        <v>35945</v>
      </c>
      <c r="N43" s="8">
        <f>3059+5882+25701+51537</f>
        <v>86179</v>
      </c>
      <c r="O43" s="21">
        <f>2031507+2411210</f>
        <v>4442717</v>
      </c>
      <c r="P43" s="8">
        <f>12143+15135</f>
        <v>27278</v>
      </c>
      <c r="Q43" s="25">
        <f t="shared" si="1"/>
        <v>4592119</v>
      </c>
      <c r="R43" s="15">
        <v>122273473.32093555</v>
      </c>
      <c r="S43" s="26">
        <f t="shared" si="2"/>
        <v>3995.5739109306096</v>
      </c>
      <c r="T43" s="26">
        <f t="shared" si="0"/>
        <v>3755.6134419661912</v>
      </c>
    </row>
    <row r="44" spans="9:20">
      <c r="I44" s="6" t="s">
        <v>14</v>
      </c>
    </row>
    <row r="45" spans="9:20">
      <c r="I45" s="6" t="s">
        <v>15</v>
      </c>
    </row>
    <row r="46" spans="9:20">
      <c r="I46" s="6" t="s">
        <v>30</v>
      </c>
    </row>
    <row r="47" spans="9:20">
      <c r="I47" t="s">
        <v>25</v>
      </c>
      <c r="J47" s="12">
        <f>AVERAGE(J29:J43)</f>
        <v>5771211.7333333334</v>
      </c>
      <c r="K47" s="12">
        <f t="shared" ref="K47:Q47" si="3">AVERAGE(K29:K43)</f>
        <v>13904.933333333332</v>
      </c>
      <c r="L47" s="12">
        <f t="shared" si="3"/>
        <v>51</v>
      </c>
      <c r="M47" s="12">
        <f t="shared" si="3"/>
        <v>39500</v>
      </c>
      <c r="N47" s="12">
        <f t="shared" si="3"/>
        <v>107765.13333333333</v>
      </c>
      <c r="O47" s="12">
        <f t="shared" si="3"/>
        <v>4886719.4000000004</v>
      </c>
      <c r="P47" s="12">
        <f t="shared" si="3"/>
        <v>37035</v>
      </c>
      <c r="Q47" s="12">
        <f t="shared" si="3"/>
        <v>5071019.5333333332</v>
      </c>
    </row>
    <row r="48" spans="9:20">
      <c r="I48" t="s">
        <v>26</v>
      </c>
      <c r="J48" s="12">
        <f>MAX(J29:J43)</f>
        <v>6831630</v>
      </c>
      <c r="K48" s="12">
        <f t="shared" ref="K48:Q48" si="4">MAX(K29:K43)</f>
        <v>31473</v>
      </c>
      <c r="L48" s="12">
        <f t="shared" si="4"/>
        <v>187</v>
      </c>
      <c r="M48" s="12">
        <f t="shared" si="4"/>
        <v>54147</v>
      </c>
      <c r="N48" s="12">
        <f t="shared" si="4"/>
        <v>139143</v>
      </c>
      <c r="O48" s="12">
        <f t="shared" si="4"/>
        <v>5374980</v>
      </c>
      <c r="P48" s="12">
        <f t="shared" si="4"/>
        <v>47165</v>
      </c>
      <c r="Q48" s="12">
        <f t="shared" si="4"/>
        <v>5574919</v>
      </c>
    </row>
    <row r="49" spans="9:18">
      <c r="I49" t="s">
        <v>27</v>
      </c>
      <c r="J49" s="12">
        <f>MIN(J29:J43)</f>
        <v>4885527</v>
      </c>
      <c r="K49" s="12">
        <f t="shared" ref="K49:Q49" si="5">MIN(K29:K43)</f>
        <v>3668</v>
      </c>
      <c r="L49" s="12">
        <f t="shared" si="5"/>
        <v>1</v>
      </c>
      <c r="M49" s="12">
        <f t="shared" si="5"/>
        <v>7889</v>
      </c>
      <c r="N49" s="12">
        <f t="shared" si="5"/>
        <v>80494</v>
      </c>
      <c r="O49" s="12">
        <f t="shared" si="5"/>
        <v>4442717</v>
      </c>
      <c r="P49" s="12">
        <f t="shared" si="5"/>
        <v>21659</v>
      </c>
      <c r="Q49" s="12">
        <f t="shared" si="5"/>
        <v>4592119</v>
      </c>
    </row>
    <row r="50" spans="9:18">
      <c r="I50" t="s">
        <v>28</v>
      </c>
      <c r="J50" s="12">
        <f>J48-J49</f>
        <v>1946103</v>
      </c>
      <c r="K50" s="12">
        <f t="shared" ref="K50:Q50" si="6">K48-K49</f>
        <v>27805</v>
      </c>
      <c r="L50" s="12">
        <f t="shared" si="6"/>
        <v>186</v>
      </c>
      <c r="M50" s="12">
        <f t="shared" si="6"/>
        <v>46258</v>
      </c>
      <c r="N50" s="12">
        <f t="shared" si="6"/>
        <v>58649</v>
      </c>
      <c r="O50" s="12">
        <f t="shared" si="6"/>
        <v>932263</v>
      </c>
      <c r="P50" s="12">
        <f t="shared" si="6"/>
        <v>25506</v>
      </c>
      <c r="Q50" s="12">
        <f t="shared" si="6"/>
        <v>982800</v>
      </c>
    </row>
    <row r="54" spans="9:18">
      <c r="Q54" t="s">
        <v>56</v>
      </c>
    </row>
    <row r="57" spans="9:18">
      <c r="P57">
        <v>1996</v>
      </c>
      <c r="Q57">
        <v>111880</v>
      </c>
      <c r="R57">
        <v>120.07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0"/>
  <sheetViews>
    <sheetView tabSelected="1" zoomScaleNormal="100" workbookViewId="0">
      <selection activeCell="B8" sqref="B8"/>
    </sheetView>
  </sheetViews>
  <sheetFormatPr baseColWidth="10" defaultRowHeight="15"/>
  <cols>
    <col min="3" max="3" width="13.28515625" customWidth="1"/>
    <col min="4" max="4" width="12.85546875" bestFit="1" customWidth="1"/>
    <col min="6" max="6" width="7.140625" customWidth="1"/>
    <col min="9" max="9" width="13.85546875" bestFit="1" customWidth="1"/>
    <col min="12" max="12" width="14.7109375" bestFit="1" customWidth="1"/>
    <col min="13" max="14" width="14.85546875" bestFit="1" customWidth="1"/>
    <col min="16" max="16" width="15.85546875" customWidth="1"/>
    <col min="17" max="17" width="14.5703125" customWidth="1"/>
  </cols>
  <sheetData>
    <row r="2" spans="2:8">
      <c r="B2" s="38" t="s">
        <v>19</v>
      </c>
      <c r="C2" s="38"/>
      <c r="D2" s="38"/>
      <c r="E2" s="38"/>
      <c r="F2" s="38"/>
    </row>
    <row r="3" spans="2:8" ht="18.75">
      <c r="B3" s="54" t="s">
        <v>39</v>
      </c>
      <c r="C3" s="54"/>
      <c r="D3" s="38"/>
      <c r="E3" s="38"/>
      <c r="F3" s="38"/>
    </row>
    <row r="4" spans="2:8">
      <c r="B4" t="s">
        <v>20</v>
      </c>
    </row>
    <row r="5" spans="2:8">
      <c r="B5" s="13" t="s">
        <v>21</v>
      </c>
      <c r="C5" s="13"/>
    </row>
    <row r="6" spans="2:8">
      <c r="B6" s="74" t="s">
        <v>88</v>
      </c>
      <c r="C6" s="13"/>
    </row>
    <row r="7" spans="2:8">
      <c r="B7" s="14" t="s">
        <v>22</v>
      </c>
      <c r="C7" s="14"/>
    </row>
    <row r="8" spans="2:8">
      <c r="B8" s="14" t="s">
        <v>23</v>
      </c>
      <c r="C8" s="14"/>
    </row>
    <row r="9" spans="2:8">
      <c r="B9" s="14" t="s">
        <v>24</v>
      </c>
      <c r="C9" s="14"/>
    </row>
    <row r="10" spans="2:8">
      <c r="B10" s="29" t="s">
        <v>17</v>
      </c>
      <c r="C10" s="27" t="s">
        <v>40</v>
      </c>
      <c r="D10" s="29" t="s">
        <v>18</v>
      </c>
      <c r="E10" s="29" t="s">
        <v>38</v>
      </c>
      <c r="F10" s="27" t="s">
        <v>54</v>
      </c>
      <c r="G10" s="27" t="s">
        <v>32</v>
      </c>
      <c r="H10" s="27" t="s">
        <v>87</v>
      </c>
    </row>
    <row r="11" spans="2:8">
      <c r="B11" s="28">
        <v>1980</v>
      </c>
      <c r="D11" s="28">
        <v>1152702</v>
      </c>
      <c r="E11" s="39">
        <v>1716.46</v>
      </c>
    </row>
    <row r="12" spans="2:8">
      <c r="B12" s="28">
        <v>1981</v>
      </c>
      <c r="D12" s="28">
        <v>1697805</v>
      </c>
      <c r="E12" s="39">
        <v>2465.9499999999998</v>
      </c>
    </row>
    <row r="13" spans="2:8">
      <c r="B13" s="28">
        <v>1982</v>
      </c>
      <c r="D13" s="28">
        <v>2010635</v>
      </c>
      <c r="E13" s="39">
        <v>2850.2</v>
      </c>
    </row>
    <row r="14" spans="2:8">
      <c r="B14" s="28">
        <v>1983</v>
      </c>
      <c r="D14" s="28">
        <v>2243821</v>
      </c>
      <c r="E14" s="39">
        <v>3106.23</v>
      </c>
    </row>
    <row r="15" spans="2:8">
      <c r="B15" s="28">
        <v>1984</v>
      </c>
      <c r="D15" s="28">
        <v>2412309</v>
      </c>
      <c r="E15" s="39">
        <v>3263.13</v>
      </c>
    </row>
    <row r="16" spans="2:8">
      <c r="B16" s="28">
        <v>1985</v>
      </c>
      <c r="D16" s="28">
        <v>2715244</v>
      </c>
      <c r="E16" s="39">
        <v>3590.79</v>
      </c>
    </row>
    <row r="17" spans="1:8">
      <c r="B17" s="28">
        <v>1986</v>
      </c>
      <c r="D17" s="28">
        <v>2401468</v>
      </c>
      <c r="E17" s="39">
        <v>3106.77</v>
      </c>
    </row>
    <row r="18" spans="1:8">
      <c r="B18" s="28">
        <v>1987</v>
      </c>
      <c r="D18" s="28">
        <v>2590247</v>
      </c>
      <c r="E18" s="39">
        <v>3280.75</v>
      </c>
    </row>
    <row r="19" spans="1:8">
      <c r="B19" s="28">
        <v>1988</v>
      </c>
      <c r="D19" s="28">
        <v>2473056</v>
      </c>
      <c r="E19" s="39">
        <v>3070.21</v>
      </c>
    </row>
    <row r="20" spans="1:8">
      <c r="B20" s="28">
        <v>1989</v>
      </c>
      <c r="D20" s="28">
        <v>3708950</v>
      </c>
      <c r="E20" s="39">
        <v>4512.96</v>
      </c>
    </row>
    <row r="21" spans="1:8">
      <c r="B21" s="33">
        <v>1990</v>
      </c>
      <c r="C21" s="35">
        <v>87064847</v>
      </c>
      <c r="D21" s="34">
        <v>4256042</v>
      </c>
      <c r="E21" s="40">
        <v>5068.47</v>
      </c>
      <c r="G21" s="16">
        <f>D21*100000/C21</f>
        <v>4888.358673621743</v>
      </c>
      <c r="H21" s="19">
        <f t="shared" ref="H21:H40" si="0">E21/G21-1</f>
        <v>3.6844949072612598E-2</v>
      </c>
    </row>
    <row r="22" spans="1:8">
      <c r="B22" s="33">
        <v>1991</v>
      </c>
      <c r="C22" s="35">
        <v>88630941</v>
      </c>
      <c r="D22" s="34">
        <v>4700348</v>
      </c>
      <c r="E22" s="40">
        <v>5492.13</v>
      </c>
      <c r="G22" s="16">
        <f t="shared" ref="G22:G47" si="1">D22*100000/C22</f>
        <v>5303.2811645314696</v>
      </c>
      <c r="H22" s="19">
        <f t="shared" si="0"/>
        <v>3.5609810155184274E-2</v>
      </c>
    </row>
    <row r="23" spans="1:8">
      <c r="B23" s="33">
        <v>1992</v>
      </c>
      <c r="C23" s="35">
        <v>90132585</v>
      </c>
      <c r="D23" s="34">
        <v>4666074</v>
      </c>
      <c r="E23" s="40">
        <v>5351.93</v>
      </c>
      <c r="G23" s="16">
        <f t="shared" si="1"/>
        <v>5176.9002298114492</v>
      </c>
      <c r="H23" s="19">
        <f t="shared" si="0"/>
        <v>3.3809763066445342E-2</v>
      </c>
    </row>
    <row r="24" spans="1:8">
      <c r="B24" s="33">
        <v>1993</v>
      </c>
      <c r="C24" s="35">
        <v>91600655</v>
      </c>
      <c r="D24" s="34">
        <v>4948172</v>
      </c>
      <c r="E24" s="40">
        <v>5575.28</v>
      </c>
      <c r="G24" s="16">
        <f t="shared" si="1"/>
        <v>5401.8958707227584</v>
      </c>
      <c r="H24" s="19">
        <f t="shared" si="0"/>
        <v>3.2096903277412325E-2</v>
      </c>
    </row>
    <row r="25" spans="1:8">
      <c r="B25" s="33">
        <v>1994</v>
      </c>
      <c r="C25" s="35">
        <v>93055300</v>
      </c>
      <c r="D25" s="34">
        <v>4311669</v>
      </c>
      <c r="E25" s="40">
        <v>4776.6400000000003</v>
      </c>
      <c r="G25" s="16">
        <f t="shared" si="1"/>
        <v>4633.4480679767839</v>
      </c>
      <c r="H25" s="19">
        <f t="shared" si="0"/>
        <v>3.0903968259158976E-2</v>
      </c>
    </row>
    <row r="26" spans="1:8">
      <c r="A26">
        <v>7678.4</v>
      </c>
      <c r="B26" s="29">
        <v>1995</v>
      </c>
      <c r="C26" s="36">
        <v>94490336</v>
      </c>
      <c r="D26" s="30">
        <v>5866261</v>
      </c>
      <c r="E26" s="41">
        <v>6395.52</v>
      </c>
      <c r="G26" s="16">
        <f t="shared" si="1"/>
        <v>6208.3184887817524</v>
      </c>
      <c r="H26" s="19">
        <f t="shared" si="0"/>
        <v>3.0153335650630053E-2</v>
      </c>
    </row>
    <row r="27" spans="1:8">
      <c r="B27" s="29">
        <v>1996</v>
      </c>
      <c r="C27" s="36">
        <v>95876664</v>
      </c>
      <c r="D27" s="30">
        <v>6275369</v>
      </c>
      <c r="E27" s="41">
        <v>6738.28</v>
      </c>
      <c r="G27" s="16">
        <f t="shared" si="1"/>
        <v>6545.251720481222</v>
      </c>
      <c r="H27" s="19">
        <f t="shared" si="0"/>
        <v>2.9491345445853412E-2</v>
      </c>
    </row>
    <row r="28" spans="1:8">
      <c r="B28" s="29">
        <v>1997</v>
      </c>
      <c r="C28" s="36">
        <v>97204604</v>
      </c>
      <c r="D28" s="30">
        <v>7040048</v>
      </c>
      <c r="E28" s="41">
        <v>7451.52</v>
      </c>
      <c r="G28" s="16">
        <f t="shared" si="1"/>
        <v>7242.504686300661</v>
      </c>
      <c r="H28" s="19">
        <f t="shared" si="0"/>
        <v>2.8859534477719606E-2</v>
      </c>
    </row>
    <row r="29" spans="1:8">
      <c r="B29" s="29">
        <v>1998</v>
      </c>
      <c r="C29" s="36">
        <v>98485424</v>
      </c>
      <c r="D29" s="30">
        <v>7611170</v>
      </c>
      <c r="E29" s="41">
        <v>7945.67</v>
      </c>
      <c r="G29" s="16">
        <f t="shared" si="1"/>
        <v>7728.2197617385491</v>
      </c>
      <c r="H29" s="19">
        <f t="shared" si="0"/>
        <v>2.81371706506095E-2</v>
      </c>
    </row>
    <row r="30" spans="1:8">
      <c r="B30" s="29">
        <v>1999</v>
      </c>
      <c r="C30" s="36">
        <v>99706067</v>
      </c>
      <c r="D30" s="30">
        <v>7258268</v>
      </c>
      <c r="E30" s="41">
        <v>7473.9</v>
      </c>
      <c r="G30" s="16">
        <f t="shared" si="1"/>
        <v>7279.6653387200604</v>
      </c>
      <c r="H30" s="19">
        <f t="shared" si="0"/>
        <v>2.6681811902371066E-2</v>
      </c>
    </row>
    <row r="31" spans="1:8">
      <c r="B31" s="29">
        <v>2000</v>
      </c>
      <c r="C31" s="36">
        <v>100895811</v>
      </c>
      <c r="D31" s="30">
        <v>6891063</v>
      </c>
      <c r="E31" s="41">
        <v>7000.37</v>
      </c>
      <c r="G31" s="16">
        <f t="shared" si="1"/>
        <v>6829.8801820424442</v>
      </c>
      <c r="H31" s="19">
        <f t="shared" si="0"/>
        <v>2.4962343908436102E-2</v>
      </c>
    </row>
    <row r="32" spans="1:8">
      <c r="B32" s="29">
        <v>2001</v>
      </c>
      <c r="C32" s="36">
        <v>102122295</v>
      </c>
      <c r="D32" s="30">
        <v>6908456</v>
      </c>
      <c r="E32" s="41">
        <v>6928.16</v>
      </c>
      <c r="G32" s="16">
        <f t="shared" si="1"/>
        <v>6764.885180067683</v>
      </c>
      <c r="H32" s="19">
        <f t="shared" si="0"/>
        <v>2.4135638016946181E-2</v>
      </c>
    </row>
    <row r="33" spans="1:17">
      <c r="B33" s="29">
        <v>2002</v>
      </c>
      <c r="C33" s="36">
        <v>103417944</v>
      </c>
      <c r="D33" s="30">
        <v>6831630</v>
      </c>
      <c r="E33" s="41">
        <v>6770.06</v>
      </c>
      <c r="G33" s="16">
        <f t="shared" si="1"/>
        <v>6605.845886860795</v>
      </c>
      <c r="H33" s="19">
        <f t="shared" si="0"/>
        <v>2.4858907693537269E-2</v>
      </c>
    </row>
    <row r="34" spans="1:17">
      <c r="B34" s="29">
        <v>2003</v>
      </c>
      <c r="C34" s="36">
        <v>104719891</v>
      </c>
      <c r="D34" s="30">
        <v>6259077</v>
      </c>
      <c r="E34" s="41">
        <v>6136.38</v>
      </c>
      <c r="G34" s="16">
        <f t="shared" si="1"/>
        <v>5976.9705069689198</v>
      </c>
      <c r="H34" s="19">
        <f t="shared" si="0"/>
        <v>2.6670617304404454E-2</v>
      </c>
    </row>
    <row r="35" spans="1:17">
      <c r="B35" s="29">
        <v>2004</v>
      </c>
      <c r="C35" s="36">
        <v>105951569</v>
      </c>
      <c r="D35" s="30">
        <v>5951869</v>
      </c>
      <c r="E35" s="41">
        <v>5778.41</v>
      </c>
      <c r="G35" s="16">
        <f t="shared" si="1"/>
        <v>5617.5373863505502</v>
      </c>
      <c r="H35" s="19">
        <f t="shared" si="0"/>
        <v>2.8637568846508588E-2</v>
      </c>
    </row>
    <row r="36" spans="1:17">
      <c r="B36" s="29">
        <v>2005</v>
      </c>
      <c r="C36" s="36">
        <v>107151011</v>
      </c>
      <c r="D36" s="30">
        <v>5912952</v>
      </c>
      <c r="E36" s="41">
        <v>5688.44</v>
      </c>
      <c r="G36" s="16">
        <f t="shared" si="1"/>
        <v>5518.3352399726773</v>
      </c>
      <c r="H36" s="19">
        <f t="shared" si="0"/>
        <v>3.0825376246653047E-2</v>
      </c>
    </row>
    <row r="37" spans="1:17">
      <c r="B37" s="29">
        <v>2006</v>
      </c>
      <c r="C37" s="36">
        <v>108408827</v>
      </c>
      <c r="D37" s="30">
        <v>5765081</v>
      </c>
      <c r="E37" s="41">
        <v>5497.14</v>
      </c>
      <c r="G37" s="16">
        <f t="shared" si="1"/>
        <v>5317.9073692956754</v>
      </c>
      <c r="H37" s="19">
        <f t="shared" si="0"/>
        <v>3.3703601484142309E-2</v>
      </c>
    </row>
    <row r="38" spans="1:17">
      <c r="B38" s="29">
        <v>2007</v>
      </c>
      <c r="C38" s="36">
        <v>109787388</v>
      </c>
      <c r="D38" s="30">
        <v>5533670</v>
      </c>
      <c r="E38" s="41">
        <v>5230.7700000000004</v>
      </c>
      <c r="G38" s="16">
        <f t="shared" si="1"/>
        <v>5040.3512651198153</v>
      </c>
      <c r="H38" s="19">
        <f t="shared" si="0"/>
        <v>3.7778862000733771E-2</v>
      </c>
    </row>
    <row r="39" spans="1:17">
      <c r="B39" s="29">
        <v>2008</v>
      </c>
      <c r="C39" s="36">
        <v>111299015</v>
      </c>
      <c r="D39" s="30">
        <v>5564956</v>
      </c>
      <c r="E39" s="41">
        <v>5216.37</v>
      </c>
      <c r="G39" s="16">
        <f t="shared" si="1"/>
        <v>5000.0047170228772</v>
      </c>
      <c r="H39" s="19">
        <f t="shared" si="0"/>
        <v>4.3273015771463363E-2</v>
      </c>
      <c r="I39" s="136"/>
      <c r="J39" s="136"/>
      <c r="K39" s="136"/>
      <c r="L39" s="136"/>
      <c r="M39" s="136"/>
      <c r="N39" s="136"/>
      <c r="O39" s="136"/>
      <c r="P39" s="136"/>
      <c r="Q39" s="136"/>
    </row>
    <row r="40" spans="1:17" ht="15.75">
      <c r="A40">
        <v>5564841</v>
      </c>
      <c r="B40" s="29">
        <v>2009</v>
      </c>
      <c r="C40" s="36">
        <v>112852594</v>
      </c>
      <c r="D40" s="30">
        <v>5564841</v>
      </c>
      <c r="E40" s="41">
        <v>5174.16</v>
      </c>
      <c r="G40" s="16">
        <f t="shared" si="1"/>
        <v>4931.0705255033836</v>
      </c>
      <c r="H40" s="19">
        <f t="shared" si="0"/>
        <v>4.9297505123758301E-2</v>
      </c>
      <c r="I40" s="136"/>
      <c r="J40" s="136"/>
      <c r="K40" s="136"/>
      <c r="L40" s="136"/>
      <c r="M40" s="137" t="s">
        <v>143</v>
      </c>
      <c r="N40" s="136"/>
      <c r="O40" s="136"/>
      <c r="P40" s="136"/>
      <c r="Q40" s="136"/>
    </row>
    <row r="41" spans="1:17">
      <c r="A41">
        <v>5705412</v>
      </c>
      <c r="B41" s="29">
        <v>2010</v>
      </c>
      <c r="C41" s="37">
        <v>114255555.4490363</v>
      </c>
      <c r="D41" s="30">
        <v>5706232</v>
      </c>
      <c r="E41" s="41">
        <v>5264.24</v>
      </c>
      <c r="G41" s="16">
        <f t="shared" si="1"/>
        <v>4994.2709372633226</v>
      </c>
      <c r="H41" s="18">
        <f>E41/G41</f>
        <v>1.0540557503042898</v>
      </c>
    </row>
    <row r="42" spans="1:17">
      <c r="B42" s="31">
        <v>2011</v>
      </c>
      <c r="C42" s="37">
        <v>115682867.70444767</v>
      </c>
      <c r="D42" s="32">
        <v>6025664</v>
      </c>
      <c r="E42" s="42">
        <f t="shared" ref="E42:E47" si="2">G42*$H$41</f>
        <v>5490.3426191235021</v>
      </c>
      <c r="G42" s="16">
        <f t="shared" si="1"/>
        <v>5208.7782050793085</v>
      </c>
      <c r="H42" s="19">
        <f t="shared" ref="H42:H47" si="3">E42/G42-1</f>
        <v>5.4055750304289774E-2</v>
      </c>
      <c r="O42" s="52"/>
    </row>
    <row r="43" spans="1:17">
      <c r="B43" s="31">
        <v>2012</v>
      </c>
      <c r="C43" s="37">
        <v>117053749.70031475</v>
      </c>
      <c r="D43" s="32">
        <v>6045506</v>
      </c>
      <c r="E43" s="42">
        <f t="shared" si="2"/>
        <v>5443.9096390450368</v>
      </c>
      <c r="G43" s="16">
        <f t="shared" si="1"/>
        <v>5164.7264743572277</v>
      </c>
      <c r="H43" s="19">
        <f t="shared" si="3"/>
        <v>5.4055750304289774E-2</v>
      </c>
      <c r="N43" s="114" t="s">
        <v>48</v>
      </c>
      <c r="O43" s="75"/>
    </row>
    <row r="44" spans="1:17">
      <c r="B44" s="31">
        <v>2013</v>
      </c>
      <c r="C44" s="37">
        <v>118395053.83857793</v>
      </c>
      <c r="D44" s="32">
        <v>5858072</v>
      </c>
      <c r="E44" s="42">
        <f t="shared" si="2"/>
        <v>5215.3652345268601</v>
      </c>
      <c r="G44" s="16">
        <f t="shared" si="1"/>
        <v>4947.9026446383541</v>
      </c>
      <c r="H44" s="19">
        <f t="shared" si="3"/>
        <v>5.4055750304289774E-2</v>
      </c>
      <c r="N44" s="75" t="s">
        <v>137</v>
      </c>
      <c r="O44" s="75"/>
      <c r="P44" s="52" t="s">
        <v>139</v>
      </c>
      <c r="Q44" s="52" t="s">
        <v>140</v>
      </c>
    </row>
    <row r="45" spans="1:17">
      <c r="B45" s="31">
        <v>2014</v>
      </c>
      <c r="C45" s="37">
        <v>119713203.47999948</v>
      </c>
      <c r="D45" s="32">
        <v>5386767</v>
      </c>
      <c r="E45" s="42">
        <f t="shared" si="2"/>
        <v>4742.9628201771457</v>
      </c>
      <c r="G45" s="16">
        <f t="shared" si="1"/>
        <v>4499.7267163600454</v>
      </c>
      <c r="H45" s="19">
        <f t="shared" si="3"/>
        <v>5.4055750304289774E-2</v>
      </c>
      <c r="I45" s="66" t="s">
        <v>85</v>
      </c>
      <c r="J45" s="67" t="s">
        <v>41</v>
      </c>
      <c r="K45" s="67" t="s">
        <v>31</v>
      </c>
      <c r="L45" s="66" t="s">
        <v>43</v>
      </c>
      <c r="M45" s="66"/>
      <c r="N45" s="114">
        <v>41.54</v>
      </c>
      <c r="O45" s="114" t="s">
        <v>141</v>
      </c>
      <c r="P45" s="66"/>
      <c r="Q45" s="66"/>
    </row>
    <row r="46" spans="1:17">
      <c r="B46" s="31">
        <v>2015</v>
      </c>
      <c r="C46" s="37">
        <v>121005815.41577512</v>
      </c>
      <c r="D46" s="32">
        <v>5409628</v>
      </c>
      <c r="E46" s="42">
        <f t="shared" si="2"/>
        <v>4712.2111287088919</v>
      </c>
      <c r="G46" s="16">
        <f t="shared" si="1"/>
        <v>4470.5520816603375</v>
      </c>
      <c r="H46" s="19">
        <f t="shared" si="3"/>
        <v>5.4055750304289774E-2</v>
      </c>
      <c r="I46" s="66" t="s">
        <v>86</v>
      </c>
      <c r="J46" s="67" t="s">
        <v>42</v>
      </c>
      <c r="K46" s="66" t="s">
        <v>62</v>
      </c>
      <c r="L46" s="66" t="s">
        <v>45</v>
      </c>
      <c r="M46" s="66" t="s">
        <v>46</v>
      </c>
      <c r="N46" s="75">
        <v>6</v>
      </c>
      <c r="O46" s="114" t="s">
        <v>138</v>
      </c>
      <c r="P46" s="66" t="s">
        <v>75</v>
      </c>
      <c r="Q46" s="68" t="s">
        <v>44</v>
      </c>
    </row>
    <row r="47" spans="1:17">
      <c r="B47" s="31">
        <v>2016</v>
      </c>
      <c r="C47" s="37">
        <v>122273473.32093555</v>
      </c>
      <c r="D47" s="32">
        <v>4885527</v>
      </c>
      <c r="E47" s="42">
        <f t="shared" si="2"/>
        <v>4211.5576565822093</v>
      </c>
      <c r="G47" s="16">
        <f t="shared" si="1"/>
        <v>3995.5739109306096</v>
      </c>
      <c r="H47" s="19">
        <f t="shared" si="3"/>
        <v>5.4055750304289774E-2</v>
      </c>
      <c r="J47" s="9">
        <v>100000</v>
      </c>
      <c r="K47" s="9" t="s">
        <v>47</v>
      </c>
      <c r="L47" s="26">
        <f>Resumen!R32</f>
        <v>737.68748492272175</v>
      </c>
      <c r="M47">
        <v>0.01</v>
      </c>
      <c r="N47" s="115">
        <v>5</v>
      </c>
      <c r="O47" s="114" t="s">
        <v>49</v>
      </c>
      <c r="P47" t="s">
        <v>64</v>
      </c>
      <c r="Q47" s="51">
        <v>0.1</v>
      </c>
    </row>
    <row r="48" spans="1:17">
      <c r="B48" s="31">
        <v>2017</v>
      </c>
      <c r="C48" s="44">
        <v>123518269.71983927</v>
      </c>
      <c r="E48" s="43">
        <f>$A$26*EXP(-0.024*(B48-$B$26))</f>
        <v>4528.5925330945101</v>
      </c>
      <c r="F48" s="43">
        <f>E48</f>
        <v>4528.5925330945101</v>
      </c>
      <c r="P48" s="12">
        <f>SUM(L48:O48)</f>
        <v>0</v>
      </c>
      <c r="Q48" s="47">
        <f t="shared" ref="Q48:Q74" si="4">P48/(1+$Q$47)^(B48-$B$47)</f>
        <v>0</v>
      </c>
    </row>
    <row r="49" spans="2:17">
      <c r="B49" s="31">
        <v>2018</v>
      </c>
      <c r="C49" s="44">
        <v>124737788.61429209</v>
      </c>
      <c r="E49" s="43">
        <f t="shared" ref="E49:E74" si="5">$A$26*EXP(-0.024*(B49-$B$26))</f>
        <v>4421.2001753765426</v>
      </c>
      <c r="F49" s="43">
        <f t="shared" ref="F49:F74" si="6">E49</f>
        <v>4421.2001753765426</v>
      </c>
      <c r="I49" s="43">
        <f>F49</f>
        <v>4421.2001753765426</v>
      </c>
      <c r="J49" s="43">
        <f>F49-I49</f>
        <v>0</v>
      </c>
      <c r="K49" s="8">
        <f t="shared" ref="K49:K74" si="7">INT(J49*C48/$J$47)</f>
        <v>0</v>
      </c>
      <c r="L49" s="8">
        <f t="shared" ref="L49:L74" si="8">K49*$L$47</f>
        <v>0</v>
      </c>
      <c r="M49" s="8">
        <f t="shared" ref="M49:M74" si="9">$L$47*$M$47*K49</f>
        <v>0</v>
      </c>
      <c r="N49" s="8">
        <f>$N$46*$N$47*$N$45*K49</f>
        <v>0</v>
      </c>
      <c r="P49" s="12">
        <f t="shared" ref="P49:P73" si="10">SUM(L49:O49)</f>
        <v>0</v>
      </c>
      <c r="Q49" s="47">
        <f t="shared" si="4"/>
        <v>0</v>
      </c>
    </row>
    <row r="50" spans="2:17">
      <c r="B50" s="31">
        <v>2019</v>
      </c>
      <c r="C50" s="44">
        <v>125929439.1600115</v>
      </c>
      <c r="E50" s="43">
        <f t="shared" si="5"/>
        <v>4316.3545511992816</v>
      </c>
      <c r="F50" s="43">
        <f t="shared" si="6"/>
        <v>4316.3545511992816</v>
      </c>
      <c r="I50" s="43">
        <f>$I$77*EXP(-$I$78*(B49-$B$47))</f>
        <v>4294.3297533828581</v>
      </c>
      <c r="J50" s="43">
        <f t="shared" ref="J50:J74" si="11">F49-I50</f>
        <v>126.87042199368443</v>
      </c>
      <c r="K50" s="8">
        <f t="shared" si="7"/>
        <v>158255</v>
      </c>
      <c r="L50" s="8">
        <f t="shared" si="8"/>
        <v>116742732.92644534</v>
      </c>
      <c r="M50" s="8">
        <f t="shared" si="9"/>
        <v>1167427.3292644534</v>
      </c>
      <c r="N50" s="8">
        <f t="shared" ref="N50:N74" si="12">$N$46*$N$47*$N$45*K50</f>
        <v>197217381</v>
      </c>
      <c r="P50" s="12">
        <f>SUM(L50:O50)</f>
        <v>315127541.25570977</v>
      </c>
      <c r="Q50" s="47">
        <f t="shared" si="4"/>
        <v>236759985.91713724</v>
      </c>
    </row>
    <row r="51" spans="2:17">
      <c r="B51" s="31">
        <v>2020</v>
      </c>
      <c r="C51" s="44">
        <v>127091642.26581174</v>
      </c>
      <c r="E51" s="43">
        <f t="shared" si="5"/>
        <v>4213.9952665843721</v>
      </c>
      <c r="F51" s="43">
        <f t="shared" si="6"/>
        <v>4213.9952665843721</v>
      </c>
      <c r="I51" s="43">
        <f t="shared" ref="I51:I74" si="13">$I$77*EXP(-$I$78*(B50-$B$47))</f>
        <v>4184.3672195732697</v>
      </c>
      <c r="J51" s="43">
        <f t="shared" si="11"/>
        <v>131.98733162601184</v>
      </c>
      <c r="K51" s="8">
        <f t="shared" si="7"/>
        <v>166210</v>
      </c>
      <c r="L51" s="8">
        <f t="shared" si="8"/>
        <v>122611036.86900558</v>
      </c>
      <c r="M51" s="8">
        <f t="shared" si="9"/>
        <v>1226110.3686900558</v>
      </c>
      <c r="N51" s="8">
        <f t="shared" si="12"/>
        <v>207130902</v>
      </c>
      <c r="P51" s="12">
        <f t="shared" si="10"/>
        <v>330968049.23769563</v>
      </c>
      <c r="Q51" s="47">
        <f t="shared" si="4"/>
        <v>226055630.9252753</v>
      </c>
    </row>
    <row r="52" spans="2:17">
      <c r="B52" s="31">
        <v>2021</v>
      </c>
      <c r="C52" s="44">
        <v>128230519.31929573</v>
      </c>
      <c r="E52" s="43">
        <f t="shared" si="5"/>
        <v>4114.0633597537944</v>
      </c>
      <c r="F52" s="43">
        <f t="shared" si="6"/>
        <v>4114.0633597537944</v>
      </c>
      <c r="I52" s="43">
        <f t="shared" si="13"/>
        <v>4077.2204357261285</v>
      </c>
      <c r="J52" s="43">
        <f t="shared" si="11"/>
        <v>136.7748308582436</v>
      </c>
      <c r="K52" s="8">
        <f t="shared" si="7"/>
        <v>173829</v>
      </c>
      <c r="L52" s="8">
        <f t="shared" si="8"/>
        <v>128231477.81663179</v>
      </c>
      <c r="M52" s="8">
        <f t="shared" si="9"/>
        <v>1282314.7781663181</v>
      </c>
      <c r="N52" s="8">
        <f t="shared" si="12"/>
        <v>216625699.80000001</v>
      </c>
      <c r="P52" s="12">
        <f t="shared" si="10"/>
        <v>346139492.39479816</v>
      </c>
      <c r="Q52" s="47">
        <f t="shared" si="4"/>
        <v>214925391.58080238</v>
      </c>
    </row>
    <row r="53" spans="2:17">
      <c r="B53" s="31">
        <v>2022</v>
      </c>
      <c r="C53" s="44">
        <v>129351846.12280837</v>
      </c>
      <c r="E53" s="43">
        <f t="shared" si="5"/>
        <v>4016.5012671662416</v>
      </c>
      <c r="F53" s="43">
        <f t="shared" si="6"/>
        <v>4016.5012671662416</v>
      </c>
      <c r="I53" s="43">
        <f t="shared" si="13"/>
        <v>3972.8173004849423</v>
      </c>
      <c r="J53" s="43">
        <f t="shared" si="11"/>
        <v>141.24605926885215</v>
      </c>
      <c r="K53" s="8">
        <f t="shared" si="7"/>
        <v>181120</v>
      </c>
      <c r="L53" s="8">
        <f t="shared" si="8"/>
        <v>133609957.26920336</v>
      </c>
      <c r="M53" s="8">
        <f t="shared" si="9"/>
        <v>1336099.5726920336</v>
      </c>
      <c r="N53" s="8">
        <f t="shared" si="12"/>
        <v>225711744</v>
      </c>
      <c r="P53" s="12">
        <f t="shared" si="10"/>
        <v>360657800.8418954</v>
      </c>
      <c r="Q53" s="47">
        <f t="shared" si="4"/>
        <v>203581926.24577716</v>
      </c>
    </row>
    <row r="54" spans="2:17">
      <c r="B54" s="31">
        <v>2023</v>
      </c>
      <c r="C54" s="44">
        <v>130451690.95603113</v>
      </c>
      <c r="E54" s="43">
        <f t="shared" si="5"/>
        <v>3921.2527903589366</v>
      </c>
      <c r="F54" s="43">
        <f t="shared" si="6"/>
        <v>3921.2527903589366</v>
      </c>
      <c r="I54" s="43">
        <f t="shared" si="13"/>
        <v>3871.0875587528926</v>
      </c>
      <c r="J54" s="43">
        <f t="shared" si="11"/>
        <v>145.41370841334901</v>
      </c>
      <c r="K54" s="8">
        <f t="shared" si="7"/>
        <v>188095</v>
      </c>
      <c r="L54" s="8">
        <f t="shared" si="8"/>
        <v>138755327.47653934</v>
      </c>
      <c r="M54" s="8">
        <f t="shared" si="9"/>
        <v>1387553.2747653935</v>
      </c>
      <c r="N54" s="8">
        <f t="shared" si="12"/>
        <v>234403989</v>
      </c>
      <c r="P54" s="12">
        <f t="shared" si="10"/>
        <v>374546869.75130475</v>
      </c>
      <c r="Q54" s="47">
        <f t="shared" si="4"/>
        <v>192201766.87078103</v>
      </c>
    </row>
    <row r="55" spans="2:17">
      <c r="B55" s="31">
        <v>2024</v>
      </c>
      <c r="C55" s="44">
        <v>131529467.50338459</v>
      </c>
      <c r="E55" s="43">
        <f t="shared" si="5"/>
        <v>3828.2630635757564</v>
      </c>
      <c r="F55" s="43">
        <f t="shared" si="6"/>
        <v>3828.2630635757564</v>
      </c>
      <c r="I55" s="43">
        <f t="shared" si="13"/>
        <v>3771.9627544166819</v>
      </c>
      <c r="J55" s="43">
        <f t="shared" si="11"/>
        <v>149.29003594225469</v>
      </c>
      <c r="K55" s="8">
        <f t="shared" si="7"/>
        <v>194751</v>
      </c>
      <c r="L55" s="8">
        <f t="shared" si="8"/>
        <v>143665375.37618497</v>
      </c>
      <c r="M55" s="8">
        <f t="shared" si="9"/>
        <v>1436653.7537618498</v>
      </c>
      <c r="N55" s="8">
        <f t="shared" si="12"/>
        <v>242698696.20000002</v>
      </c>
      <c r="P55" s="12">
        <f t="shared" si="10"/>
        <v>387800725.32994688</v>
      </c>
      <c r="Q55" s="47">
        <f t="shared" si="4"/>
        <v>180911900.41710782</v>
      </c>
    </row>
    <row r="56" spans="2:17">
      <c r="B56" s="31">
        <v>2025</v>
      </c>
      <c r="C56" s="44">
        <v>132584052.76871851</v>
      </c>
      <c r="E56" s="43">
        <f t="shared" si="5"/>
        <v>3737.4785221630464</v>
      </c>
      <c r="F56" s="43">
        <f t="shared" si="6"/>
        <v>3737.4785221630464</v>
      </c>
      <c r="I56" s="43">
        <f t="shared" si="13"/>
        <v>3675.3761842809549</v>
      </c>
      <c r="J56" s="43">
        <f t="shared" si="11"/>
        <v>152.88687929480147</v>
      </c>
      <c r="K56" s="8">
        <f t="shared" si="7"/>
        <v>201091</v>
      </c>
      <c r="L56" s="8">
        <f t="shared" si="8"/>
        <v>148342314.03059503</v>
      </c>
      <c r="M56" s="8">
        <f t="shared" si="9"/>
        <v>1483423.1403059503</v>
      </c>
      <c r="N56" s="8">
        <f t="shared" si="12"/>
        <v>250599604.20000002</v>
      </c>
      <c r="P56" s="12">
        <f t="shared" si="10"/>
        <v>400425341.37090099</v>
      </c>
      <c r="Q56" s="47">
        <f t="shared" si="4"/>
        <v>169819433.61138827</v>
      </c>
    </row>
    <row r="57" spans="2:17">
      <c r="B57" s="31">
        <v>2026</v>
      </c>
      <c r="C57" s="44">
        <v>133614189.83441433</v>
      </c>
      <c r="E57" s="43">
        <f t="shared" si="5"/>
        <v>3648.8468717148917</v>
      </c>
      <c r="F57" s="43">
        <f t="shared" si="6"/>
        <v>3648.8468717148917</v>
      </c>
      <c r="I57" s="43">
        <f t="shared" si="13"/>
        <v>3581.2628531822938</v>
      </c>
      <c r="J57" s="43">
        <f t="shared" si="11"/>
        <v>156.21566898075253</v>
      </c>
      <c r="K57" s="8">
        <f t="shared" si="7"/>
        <v>207117</v>
      </c>
      <c r="L57" s="8">
        <f t="shared" si="8"/>
        <v>152787618.81473935</v>
      </c>
      <c r="M57" s="8">
        <f t="shared" si="9"/>
        <v>1527876.1881473935</v>
      </c>
      <c r="N57" s="8">
        <f t="shared" si="12"/>
        <v>258109205.40000001</v>
      </c>
      <c r="P57" s="12">
        <f t="shared" si="10"/>
        <v>412424700.40288675</v>
      </c>
      <c r="Q57" s="47">
        <f t="shared" si="4"/>
        <v>159007575.63531798</v>
      </c>
    </row>
    <row r="58" spans="2:17">
      <c r="B58" s="31">
        <v>2027</v>
      </c>
      <c r="C58" s="44">
        <v>134619410.57512766</v>
      </c>
      <c r="E58" s="43">
        <f t="shared" si="5"/>
        <v>3562.3170579501002</v>
      </c>
      <c r="F58" s="43">
        <f t="shared" si="6"/>
        <v>3562.3170579501002</v>
      </c>
      <c r="I58" s="43">
        <f t="shared" si="13"/>
        <v>3489.5594302525897</v>
      </c>
      <c r="J58" s="43">
        <f t="shared" si="11"/>
        <v>159.28744146230201</v>
      </c>
      <c r="K58" s="8">
        <f t="shared" si="7"/>
        <v>212830</v>
      </c>
      <c r="L58" s="8">
        <f t="shared" si="8"/>
        <v>157002027.41610286</v>
      </c>
      <c r="M58" s="8">
        <f t="shared" si="9"/>
        <v>1570020.2741610287</v>
      </c>
      <c r="N58" s="8">
        <f t="shared" si="12"/>
        <v>265228746</v>
      </c>
      <c r="P58" s="12">
        <f t="shared" si="10"/>
        <v>423800793.69026387</v>
      </c>
      <c r="Q58" s="47">
        <f t="shared" si="4"/>
        <v>148539592.78380957</v>
      </c>
    </row>
    <row r="59" spans="2:17">
      <c r="B59" s="31">
        <v>2028</v>
      </c>
      <c r="C59" s="44">
        <v>135599641.27262661</v>
      </c>
      <c r="E59" s="43">
        <f t="shared" si="5"/>
        <v>3477.8392373035203</v>
      </c>
      <c r="F59" s="43">
        <f t="shared" si="6"/>
        <v>3477.8392373035203</v>
      </c>
      <c r="I59" s="43">
        <f t="shared" si="13"/>
        <v>3400.2042063023459</v>
      </c>
      <c r="J59" s="43">
        <f t="shared" si="11"/>
        <v>162.11285164775427</v>
      </c>
      <c r="K59" s="8">
        <f t="shared" si="7"/>
        <v>218235</v>
      </c>
      <c r="L59" s="8">
        <f t="shared" si="8"/>
        <v>160989228.27211019</v>
      </c>
      <c r="M59" s="8">
        <f t="shared" si="9"/>
        <v>1609892.2827211018</v>
      </c>
      <c r="N59" s="8">
        <f t="shared" si="12"/>
        <v>271964457</v>
      </c>
      <c r="P59" s="12">
        <f t="shared" si="10"/>
        <v>434563577.55483127</v>
      </c>
      <c r="Q59" s="47">
        <f t="shared" si="4"/>
        <v>138465348.06343383</v>
      </c>
    </row>
    <row r="60" spans="2:17">
      <c r="B60" s="31">
        <v>2029</v>
      </c>
      <c r="C60" s="44">
        <v>136554493.65607554</v>
      </c>
      <c r="E60" s="43">
        <f t="shared" si="5"/>
        <v>3395.3647482147735</v>
      </c>
      <c r="F60" s="43">
        <f t="shared" si="6"/>
        <v>3395.3647482147735</v>
      </c>
      <c r="I60" s="43">
        <f t="shared" si="13"/>
        <v>3313.1370522952534</v>
      </c>
      <c r="J60" s="43">
        <f t="shared" si="11"/>
        <v>164.70218500826695</v>
      </c>
      <c r="K60" s="8">
        <f t="shared" si="7"/>
        <v>223335</v>
      </c>
      <c r="L60" s="8">
        <f t="shared" si="8"/>
        <v>164751434.44521606</v>
      </c>
      <c r="M60" s="8">
        <f t="shared" si="9"/>
        <v>1647514.3444521606</v>
      </c>
      <c r="N60" s="8">
        <f t="shared" si="12"/>
        <v>278320077</v>
      </c>
      <c r="P60" s="12">
        <f t="shared" si="10"/>
        <v>444719025.7896682</v>
      </c>
      <c r="Q60" s="47">
        <f t="shared" si="4"/>
        <v>128819260.76246829</v>
      </c>
    </row>
    <row r="61" spans="2:17">
      <c r="B61" s="31">
        <v>2030</v>
      </c>
      <c r="C61" s="44">
        <v>137481335.77616751</v>
      </c>
      <c r="E61" s="43">
        <f t="shared" si="5"/>
        <v>3314.8460830978456</v>
      </c>
      <c r="F61" s="43">
        <f t="shared" si="6"/>
        <v>3314.8460830978456</v>
      </c>
      <c r="I61" s="43">
        <f t="shared" si="13"/>
        <v>3228.2993788860736</v>
      </c>
      <c r="J61" s="43">
        <f t="shared" si="11"/>
        <v>167.06536932869994</v>
      </c>
      <c r="K61" s="8">
        <f t="shared" si="7"/>
        <v>228135</v>
      </c>
      <c r="L61" s="8">
        <f t="shared" si="8"/>
        <v>168292334.37284511</v>
      </c>
      <c r="M61" s="8">
        <f t="shared" si="9"/>
        <v>1682923.3437284513</v>
      </c>
      <c r="N61" s="8">
        <f t="shared" si="12"/>
        <v>284301837</v>
      </c>
      <c r="P61" s="12">
        <f t="shared" si="10"/>
        <v>454277094.7165736</v>
      </c>
      <c r="Q61" s="47">
        <f t="shared" si="4"/>
        <v>119625357.15423712</v>
      </c>
    </row>
    <row r="62" spans="2:17">
      <c r="B62" s="31">
        <v>2031</v>
      </c>
      <c r="C62" s="44">
        <v>138383142.07397586</v>
      </c>
      <c r="E62" s="43">
        <f t="shared" si="5"/>
        <v>3236.2368609754058</v>
      </c>
      <c r="F62" s="43">
        <f t="shared" si="6"/>
        <v>3236.2368609754058</v>
      </c>
      <c r="I62" s="43">
        <f t="shared" si="13"/>
        <v>3145.6340969946236</v>
      </c>
      <c r="J62" s="43">
        <f t="shared" si="11"/>
        <v>169.21198610322199</v>
      </c>
      <c r="K62" s="8">
        <f t="shared" si="7"/>
        <v>232634</v>
      </c>
      <c r="L62" s="8">
        <f t="shared" si="8"/>
        <v>171611190.36751246</v>
      </c>
      <c r="M62" s="8">
        <f t="shared" si="9"/>
        <v>1716111.9036751245</v>
      </c>
      <c r="N62" s="8">
        <f t="shared" si="12"/>
        <v>289908490.80000001</v>
      </c>
      <c r="P62" s="12">
        <f t="shared" si="10"/>
        <v>463235793.07118762</v>
      </c>
      <c r="Q62" s="47">
        <f t="shared" si="4"/>
        <v>110894965.84446131</v>
      </c>
    </row>
    <row r="63" spans="2:17">
      <c r="B63" s="31">
        <v>2032</v>
      </c>
      <c r="C63" s="44">
        <v>139263092.29035321</v>
      </c>
      <c r="E63" s="43">
        <f t="shared" si="5"/>
        <v>3159.4918007620822</v>
      </c>
      <c r="F63" s="43">
        <f t="shared" si="6"/>
        <v>3159.4918007620822</v>
      </c>
      <c r="I63" s="43">
        <f t="shared" si="13"/>
        <v>3065.0855793893138</v>
      </c>
      <c r="J63" s="43">
        <f t="shared" si="11"/>
        <v>171.15128158609195</v>
      </c>
      <c r="K63" s="8">
        <f t="shared" si="7"/>
        <v>236844</v>
      </c>
      <c r="L63" s="8">
        <f t="shared" si="8"/>
        <v>174716854.67903712</v>
      </c>
      <c r="M63" s="8">
        <f t="shared" si="9"/>
        <v>1747168.5467903712</v>
      </c>
      <c r="N63" s="8">
        <f t="shared" si="12"/>
        <v>295154992.80000001</v>
      </c>
      <c r="P63" s="12">
        <f t="shared" si="10"/>
        <v>471619016.02582753</v>
      </c>
      <c r="Q63" s="47">
        <f t="shared" si="4"/>
        <v>102638038.87990105</v>
      </c>
    </row>
    <row r="64" spans="2:17">
      <c r="B64" s="31">
        <v>2033</v>
      </c>
      <c r="C64" s="44">
        <v>140118934.10467148</v>
      </c>
      <c r="E64" s="43">
        <f t="shared" si="5"/>
        <v>3084.5666951813046</v>
      </c>
      <c r="F64" s="43">
        <f t="shared" si="6"/>
        <v>3084.5666951813046</v>
      </c>
      <c r="I64" s="43">
        <f t="shared" si="13"/>
        <v>2986.5996232543957</v>
      </c>
      <c r="J64" s="43">
        <f t="shared" si="11"/>
        <v>172.89217750768648</v>
      </c>
      <c r="K64" s="8">
        <f t="shared" si="7"/>
        <v>240774</v>
      </c>
      <c r="L64" s="8">
        <f t="shared" si="8"/>
        <v>177615966.4947834</v>
      </c>
      <c r="M64" s="8">
        <f t="shared" si="9"/>
        <v>1776159.6649478341</v>
      </c>
      <c r="N64" s="8">
        <f t="shared" si="12"/>
        <v>300052558.80000001</v>
      </c>
      <c r="P64" s="12">
        <f t="shared" si="10"/>
        <v>479444684.95973122</v>
      </c>
      <c r="Q64" s="47">
        <f t="shared" si="4"/>
        <v>94855574.951787576</v>
      </c>
    </row>
    <row r="65" spans="2:17">
      <c r="B65" s="31">
        <v>2034</v>
      </c>
      <c r="C65" s="44">
        <v>140950311.77190983</v>
      </c>
      <c r="E65" s="43">
        <f t="shared" si="5"/>
        <v>3011.4183853006884</v>
      </c>
      <c r="F65" s="43">
        <f t="shared" si="6"/>
        <v>3011.4183853006884</v>
      </c>
      <c r="I65" s="43">
        <f t="shared" si="13"/>
        <v>2910.1234137157339</v>
      </c>
      <c r="J65" s="43">
        <f t="shared" si="11"/>
        <v>174.44328146557064</v>
      </c>
      <c r="K65" s="8">
        <f t="shared" si="7"/>
        <v>244428</v>
      </c>
      <c r="L65" s="8">
        <f t="shared" si="8"/>
        <v>180311476.56469104</v>
      </c>
      <c r="M65" s="8">
        <f t="shared" si="9"/>
        <v>1803114.7656469103</v>
      </c>
      <c r="N65" s="8">
        <f t="shared" si="12"/>
        <v>304606173.60000002</v>
      </c>
      <c r="P65" s="12">
        <f t="shared" si="10"/>
        <v>486720764.93033797</v>
      </c>
      <c r="Q65" s="47">
        <f t="shared" si="4"/>
        <v>87541007.804057419</v>
      </c>
    </row>
    <row r="66" spans="2:17">
      <c r="B66" s="31">
        <v>2035</v>
      </c>
      <c r="C66" s="44">
        <v>141756919.61498782</v>
      </c>
      <c r="E66" s="43">
        <f t="shared" si="5"/>
        <v>2940.0047356713003</v>
      </c>
      <c r="F66" s="43">
        <f t="shared" si="6"/>
        <v>2940.0047356713003</v>
      </c>
      <c r="I66" s="43">
        <f t="shared" si="13"/>
        <v>2835.6054883005495</v>
      </c>
      <c r="J66" s="43">
        <f t="shared" si="11"/>
        <v>175.81289700013895</v>
      </c>
      <c r="K66" s="8">
        <f t="shared" si="7"/>
        <v>247808</v>
      </c>
      <c r="L66" s="8">
        <f t="shared" si="8"/>
        <v>182804860.26372984</v>
      </c>
      <c r="M66" s="8">
        <f t="shared" si="9"/>
        <v>1828048.6026372982</v>
      </c>
      <c r="N66" s="8">
        <f t="shared" si="12"/>
        <v>308818329.60000002</v>
      </c>
      <c r="P66" s="12">
        <f t="shared" si="10"/>
        <v>493451238.46636713</v>
      </c>
      <c r="Q66" s="47">
        <f t="shared" si="4"/>
        <v>80683220.572512358</v>
      </c>
    </row>
    <row r="67" spans="2:17">
      <c r="B67" s="31">
        <v>2036</v>
      </c>
      <c r="C67" s="44">
        <v>142538744.34624964</v>
      </c>
      <c r="E67" s="43">
        <f t="shared" si="5"/>
        <v>2870.2846100564698</v>
      </c>
      <c r="F67" s="43">
        <f t="shared" si="6"/>
        <v>2870.2846100564698</v>
      </c>
      <c r="I67" s="43">
        <f t="shared" si="13"/>
        <v>2762.9957023072234</v>
      </c>
      <c r="J67" s="43">
        <f t="shared" si="11"/>
        <v>177.00903336407691</v>
      </c>
      <c r="K67" s="8">
        <f t="shared" si="7"/>
        <v>250922</v>
      </c>
      <c r="L67" s="8">
        <f t="shared" si="8"/>
        <v>185102019.09177917</v>
      </c>
      <c r="M67" s="8">
        <f t="shared" si="9"/>
        <v>1851020.1909177918</v>
      </c>
      <c r="N67" s="8">
        <f t="shared" si="12"/>
        <v>312698996.40000004</v>
      </c>
      <c r="P67" s="12">
        <f t="shared" si="10"/>
        <v>499652035.682697</v>
      </c>
      <c r="Q67" s="47">
        <f t="shared" si="4"/>
        <v>74270091.333524883</v>
      </c>
    </row>
    <row r="68" spans="2:17">
      <c r="B68" s="31">
        <v>2037</v>
      </c>
      <c r="C68" s="44">
        <v>143295718.95146972</v>
      </c>
      <c r="E68" s="43">
        <f t="shared" si="5"/>
        <v>2802.2178477361845</v>
      </c>
      <c r="F68" s="43">
        <f t="shared" si="6"/>
        <v>2802.2178477361845</v>
      </c>
      <c r="I68" s="43">
        <f t="shared" si="13"/>
        <v>2692.245195061857</v>
      </c>
      <c r="J68" s="43">
        <f t="shared" si="11"/>
        <v>178.0394149946128</v>
      </c>
      <c r="K68" s="8">
        <f t="shared" si="7"/>
        <v>253775</v>
      </c>
      <c r="L68" s="8">
        <f t="shared" si="8"/>
        <v>187206641.48626372</v>
      </c>
      <c r="M68" s="8">
        <f t="shared" si="9"/>
        <v>1872066.4148626372</v>
      </c>
      <c r="N68" s="8">
        <f t="shared" si="12"/>
        <v>316254405</v>
      </c>
      <c r="P68" s="12">
        <f t="shared" si="10"/>
        <v>505333112.90112638</v>
      </c>
      <c r="Q68" s="47">
        <f t="shared" si="4"/>
        <v>68285952.056688666</v>
      </c>
    </row>
    <row r="69" spans="2:17">
      <c r="B69" s="31">
        <v>2038</v>
      </c>
      <c r="C69" s="44">
        <v>144027641.40966272</v>
      </c>
      <c r="E69" s="43">
        <f t="shared" si="5"/>
        <v>2735.7652403734019</v>
      </c>
      <c r="F69" s="43">
        <f t="shared" si="6"/>
        <v>2735.7652403734019</v>
      </c>
      <c r="I69" s="43">
        <f t="shared" si="13"/>
        <v>2623.3063570388845</v>
      </c>
      <c r="J69" s="43">
        <f t="shared" si="11"/>
        <v>178.9114906973</v>
      </c>
      <c r="K69" s="8">
        <f t="shared" si="7"/>
        <v>256372</v>
      </c>
      <c r="L69" s="8">
        <f t="shared" si="8"/>
        <v>189122415.88460803</v>
      </c>
      <c r="M69" s="8">
        <f t="shared" si="9"/>
        <v>1891224.1588460801</v>
      </c>
      <c r="N69" s="8">
        <f t="shared" si="12"/>
        <v>319490786.40000004</v>
      </c>
      <c r="P69" s="12">
        <f t="shared" si="10"/>
        <v>510504426.44345415</v>
      </c>
      <c r="Q69" s="47">
        <f t="shared" si="4"/>
        <v>62713413.280115291</v>
      </c>
    </row>
    <row r="70" spans="2:17">
      <c r="B70" s="31">
        <v>2039</v>
      </c>
      <c r="C70" s="44">
        <v>144734345.63020808</v>
      </c>
      <c r="E70" s="43">
        <f t="shared" si="5"/>
        <v>2670.888509428964</v>
      </c>
      <c r="F70" s="43">
        <f t="shared" si="6"/>
        <v>2670.888509428964</v>
      </c>
      <c r="I70" s="43">
        <f t="shared" si="13"/>
        <v>2556.1327978236054</v>
      </c>
      <c r="J70" s="43">
        <f t="shared" si="11"/>
        <v>179.63244254979645</v>
      </c>
      <c r="K70" s="8">
        <f t="shared" si="7"/>
        <v>258720</v>
      </c>
      <c r="L70" s="8">
        <f t="shared" si="8"/>
        <v>190854506.09920657</v>
      </c>
      <c r="M70" s="8">
        <f t="shared" si="9"/>
        <v>1908545.0609920656</v>
      </c>
      <c r="N70" s="8">
        <f t="shared" si="12"/>
        <v>322416864</v>
      </c>
      <c r="P70" s="12">
        <f t="shared" si="10"/>
        <v>515179915.16019863</v>
      </c>
      <c r="Q70" s="47">
        <f t="shared" si="4"/>
        <v>57534343.857687704</v>
      </c>
    </row>
    <row r="71" spans="2:17">
      <c r="B71" s="31">
        <v>2040</v>
      </c>
      <c r="C71" s="44">
        <v>145415858.7078613</v>
      </c>
      <c r="E71" s="43">
        <f t="shared" si="5"/>
        <v>2607.5502841121001</v>
      </c>
      <c r="F71" s="43">
        <f t="shared" si="6"/>
        <v>2607.5502841121001</v>
      </c>
      <c r="I71" s="43">
        <f t="shared" si="13"/>
        <v>2490.6793148950865</v>
      </c>
      <c r="J71" s="43">
        <f t="shared" si="11"/>
        <v>180.20919453387751</v>
      </c>
      <c r="K71" s="8">
        <f t="shared" si="7"/>
        <v>260824</v>
      </c>
      <c r="L71" s="8">
        <f t="shared" si="8"/>
        <v>192406600.56748399</v>
      </c>
      <c r="M71" s="8">
        <f t="shared" si="9"/>
        <v>1924066.0056748397</v>
      </c>
      <c r="N71" s="8">
        <f t="shared" si="12"/>
        <v>325038868.80000001</v>
      </c>
      <c r="P71" s="12">
        <f t="shared" si="10"/>
        <v>519369535.37315881</v>
      </c>
      <c r="Q71" s="47">
        <f t="shared" si="4"/>
        <v>52729302.659026049</v>
      </c>
    </row>
    <row r="72" spans="2:17">
      <c r="B72" s="31">
        <v>2041</v>
      </c>
      <c r="C72" s="44">
        <v>146072453.29511857</v>
      </c>
      <c r="E72" s="43">
        <f t="shared" si="5"/>
        <v>2545.7140798538203</v>
      </c>
      <c r="F72" s="43">
        <f t="shared" si="6"/>
        <v>2545.7140798538203</v>
      </c>
      <c r="I72" s="43">
        <f t="shared" si="13"/>
        <v>2426.9018632084189</v>
      </c>
      <c r="J72" s="43">
        <f t="shared" si="11"/>
        <v>180.6484209036812</v>
      </c>
      <c r="K72" s="8">
        <f t="shared" si="7"/>
        <v>262691</v>
      </c>
      <c r="L72" s="8">
        <f t="shared" si="8"/>
        <v>193783863.10183468</v>
      </c>
      <c r="M72" s="8">
        <f t="shared" si="9"/>
        <v>1937838.6310183469</v>
      </c>
      <c r="N72" s="8">
        <f t="shared" si="12"/>
        <v>327365524.19999999</v>
      </c>
      <c r="P72" s="12">
        <f t="shared" si="10"/>
        <v>523087225.93285298</v>
      </c>
      <c r="Q72" s="47">
        <f t="shared" si="4"/>
        <v>48278857.651144095</v>
      </c>
    </row>
    <row r="73" spans="2:17">
      <c r="B73" s="31">
        <v>2042</v>
      </c>
      <c r="C73" s="44">
        <v>146704226.83203495</v>
      </c>
      <c r="E73" s="43">
        <f t="shared" si="5"/>
        <v>2485.3442772907897</v>
      </c>
      <c r="F73" s="43">
        <f t="shared" si="6"/>
        <v>2485.3442772907897</v>
      </c>
      <c r="I73" s="43">
        <f t="shared" si="13"/>
        <v>2364.7575255558704</v>
      </c>
      <c r="J73" s="43">
        <f t="shared" si="11"/>
        <v>180.95655429794988</v>
      </c>
      <c r="K73" s="8">
        <f t="shared" si="7"/>
        <v>264327</v>
      </c>
      <c r="L73" s="8">
        <f t="shared" si="8"/>
        <v>194990719.82716829</v>
      </c>
      <c r="M73" s="8">
        <f t="shared" si="9"/>
        <v>1949907.1982716827</v>
      </c>
      <c r="N73" s="8">
        <f t="shared" si="12"/>
        <v>329404307.40000004</v>
      </c>
      <c r="P73" s="12">
        <f t="shared" si="10"/>
        <v>526344934.42544001</v>
      </c>
      <c r="Q73" s="47">
        <f t="shared" si="4"/>
        <v>44163210.098397553</v>
      </c>
    </row>
    <row r="74" spans="2:17">
      <c r="B74" s="31">
        <v>2043</v>
      </c>
      <c r="C74" s="44">
        <v>147311185.63560259</v>
      </c>
      <c r="E74" s="43">
        <f t="shared" si="5"/>
        <v>2426.4061017475965</v>
      </c>
      <c r="F74" s="43">
        <f t="shared" si="6"/>
        <v>2426.4061017475965</v>
      </c>
      <c r="I74" s="43">
        <f t="shared" si="13"/>
        <v>2304.2044836869795</v>
      </c>
      <c r="J74" s="43">
        <f t="shared" si="11"/>
        <v>181.13979360381018</v>
      </c>
      <c r="K74" s="8">
        <f t="shared" si="7"/>
        <v>265739</v>
      </c>
      <c r="L74" s="8">
        <f t="shared" si="8"/>
        <v>196032334.55587915</v>
      </c>
      <c r="M74" s="8">
        <f t="shared" si="9"/>
        <v>1960323.3455587914</v>
      </c>
      <c r="N74" s="8">
        <f t="shared" si="12"/>
        <v>331163941.80000001</v>
      </c>
      <c r="P74" s="12">
        <f>SUM(L74:O74)</f>
        <v>529156599.70143795</v>
      </c>
      <c r="Q74" s="47">
        <f t="shared" si="4"/>
        <v>40362840.133409359</v>
      </c>
    </row>
    <row r="75" spans="2:17" ht="17.25">
      <c r="E75" s="66"/>
      <c r="F75" s="66"/>
      <c r="G75" s="66"/>
      <c r="H75" s="66"/>
      <c r="I75" s="71" t="s">
        <v>53</v>
      </c>
      <c r="Q75" s="46"/>
    </row>
    <row r="76" spans="2:17">
      <c r="E76" s="66"/>
      <c r="F76" s="66"/>
      <c r="G76" s="66"/>
      <c r="H76" s="72" t="s">
        <v>52</v>
      </c>
      <c r="I76" s="73">
        <v>7.4999999999999997E-2</v>
      </c>
      <c r="J76" s="66">
        <f>INT(F74*I76)</f>
        <v>181</v>
      </c>
      <c r="K76" s="69">
        <f>SUM(K49:K75)</f>
        <v>5628861</v>
      </c>
      <c r="L76" s="69">
        <f>SUM(L49:L75)</f>
        <v>4152340314.0695968</v>
      </c>
      <c r="M76" s="69">
        <f>SUM(M49:M75)</f>
        <v>41523403.140695967</v>
      </c>
      <c r="N76" s="69">
        <f>SUM(N49:N75)</f>
        <v>7014686578.1999998</v>
      </c>
      <c r="O76" s="66"/>
      <c r="P76" s="69">
        <f>SUM(P48:P75)</f>
        <v>11208550295.410294</v>
      </c>
      <c r="Q76" s="70">
        <f>SUM(Q48:Q75)</f>
        <v>3043663989.0902491</v>
      </c>
    </row>
    <row r="77" spans="2:17">
      <c r="E77" s="66"/>
      <c r="F77" s="66"/>
      <c r="G77" s="66"/>
      <c r="H77" s="72" t="s">
        <v>50</v>
      </c>
      <c r="I77" s="73">
        <v>4523</v>
      </c>
    </row>
    <row r="78" spans="2:17">
      <c r="E78" s="66"/>
      <c r="F78" s="66"/>
      <c r="G78" s="66"/>
      <c r="H78" s="72" t="s">
        <v>51</v>
      </c>
      <c r="I78" s="73">
        <v>2.5940000000000001E-2</v>
      </c>
    </row>
    <row r="80" spans="2:17">
      <c r="I80" s="8">
        <f>C74*I76</f>
        <v>11048338.922670195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7"/>
  <sheetViews>
    <sheetView zoomScale="80" zoomScaleNormal="80" workbookViewId="0">
      <selection activeCell="E28" sqref="E28"/>
    </sheetView>
  </sheetViews>
  <sheetFormatPr baseColWidth="10" defaultRowHeight="15"/>
  <cols>
    <col min="2" max="2" width="15.140625" bestFit="1" customWidth="1"/>
    <col min="4" max="4" width="14.28515625" customWidth="1"/>
    <col min="6" max="6" width="13.28515625" customWidth="1"/>
    <col min="7" max="7" width="11.5703125" customWidth="1"/>
    <col min="10" max="10" width="16.7109375" bestFit="1" customWidth="1"/>
    <col min="11" max="11" width="13.5703125" customWidth="1"/>
    <col min="12" max="12" width="19.28515625" bestFit="1" customWidth="1"/>
    <col min="14" max="14" width="15" bestFit="1" customWidth="1"/>
    <col min="15" max="15" width="13.85546875" bestFit="1" customWidth="1"/>
  </cols>
  <sheetData>
    <row r="2" spans="1:9">
      <c r="B2" s="38" t="s">
        <v>19</v>
      </c>
      <c r="C2" s="38"/>
      <c r="D2" s="38"/>
      <c r="E2" s="38"/>
      <c r="F2" s="38"/>
    </row>
    <row r="3" spans="1:9" ht="18.75">
      <c r="B3" s="54" t="s">
        <v>79</v>
      </c>
      <c r="C3" s="54"/>
      <c r="D3" s="38"/>
      <c r="E3" s="38"/>
      <c r="F3" s="38"/>
    </row>
    <row r="4" spans="1:9">
      <c r="A4" t="s">
        <v>68</v>
      </c>
      <c r="B4" t="s">
        <v>70</v>
      </c>
    </row>
    <row r="5" spans="1:9">
      <c r="B5" s="58" t="s">
        <v>69</v>
      </c>
    </row>
    <row r="7" spans="1:9" ht="30">
      <c r="A7" s="75"/>
      <c r="B7" s="75" t="s">
        <v>31</v>
      </c>
      <c r="C7" s="76" t="s">
        <v>16</v>
      </c>
      <c r="D7" s="77" t="s">
        <v>66</v>
      </c>
      <c r="E7" s="78" t="s">
        <v>57</v>
      </c>
      <c r="F7" s="75" t="s">
        <v>54</v>
      </c>
      <c r="G7" s="75"/>
      <c r="H7" s="79" t="s">
        <v>60</v>
      </c>
      <c r="I7" s="79" t="s">
        <v>59</v>
      </c>
    </row>
    <row r="8" spans="1:9">
      <c r="A8" s="75"/>
      <c r="B8" s="75" t="s">
        <v>65</v>
      </c>
      <c r="C8" s="75"/>
      <c r="D8" s="75"/>
      <c r="E8" s="75"/>
      <c r="F8" s="75">
        <v>27.321000000000002</v>
      </c>
      <c r="G8" s="85" t="s">
        <v>89</v>
      </c>
      <c r="H8" s="75" t="s">
        <v>42</v>
      </c>
      <c r="I8" s="75"/>
    </row>
    <row r="9" spans="1:9">
      <c r="A9" s="75">
        <v>1999</v>
      </c>
      <c r="B9" s="75"/>
      <c r="C9" s="80">
        <v>93726</v>
      </c>
      <c r="D9" s="75"/>
      <c r="E9" s="75"/>
      <c r="F9" s="75">
        <v>155.68</v>
      </c>
      <c r="G9" s="85" t="s">
        <v>90</v>
      </c>
      <c r="H9" s="75">
        <v>100000</v>
      </c>
      <c r="I9" s="75"/>
    </row>
    <row r="10" spans="1:9">
      <c r="A10">
        <v>2000</v>
      </c>
      <c r="B10" s="56">
        <v>100895811</v>
      </c>
      <c r="C10" s="8">
        <v>80574</v>
      </c>
    </row>
    <row r="11" spans="1:9">
      <c r="A11">
        <v>2001</v>
      </c>
      <c r="B11" s="56">
        <v>102122295</v>
      </c>
      <c r="C11" s="8"/>
    </row>
    <row r="12" spans="1:9">
      <c r="A12">
        <v>2002</v>
      </c>
      <c r="B12" s="56">
        <v>103417944</v>
      </c>
      <c r="C12" s="8"/>
      <c r="D12" s="7">
        <v>203868</v>
      </c>
      <c r="E12" s="57">
        <f t="shared" ref="E12:E26" si="0">D12*100000/B12</f>
        <v>197.13020015172609</v>
      </c>
      <c r="F12" s="57">
        <f t="shared" ref="F12:F26" si="1">$F$8*(A12-$A$11)+$F$9</f>
        <v>183.001</v>
      </c>
    </row>
    <row r="13" spans="1:9">
      <c r="A13">
        <v>2003</v>
      </c>
      <c r="B13" s="56">
        <v>104719891</v>
      </c>
      <c r="C13" s="8"/>
      <c r="D13" s="8">
        <v>418569</v>
      </c>
      <c r="E13" s="57">
        <f t="shared" si="0"/>
        <v>399.70343361033486</v>
      </c>
      <c r="F13" s="57">
        <f t="shared" si="1"/>
        <v>210.322</v>
      </c>
    </row>
    <row r="14" spans="1:9">
      <c r="A14">
        <v>2004</v>
      </c>
      <c r="B14" s="56">
        <v>105951569</v>
      </c>
      <c r="C14" s="8"/>
      <c r="D14" s="8">
        <v>156615</v>
      </c>
      <c r="E14" s="57">
        <f t="shared" si="0"/>
        <v>147.81753727497892</v>
      </c>
      <c r="F14" s="57">
        <f t="shared" si="1"/>
        <v>237.64300000000003</v>
      </c>
    </row>
    <row r="15" spans="1:9">
      <c r="A15">
        <v>2005</v>
      </c>
      <c r="B15" s="56">
        <v>107151011</v>
      </c>
      <c r="C15" s="8"/>
      <c r="D15" s="8">
        <v>263221</v>
      </c>
      <c r="E15" s="57">
        <f t="shared" si="0"/>
        <v>245.65423839071383</v>
      </c>
      <c r="F15" s="57">
        <f t="shared" si="1"/>
        <v>264.964</v>
      </c>
    </row>
    <row r="16" spans="1:9">
      <c r="A16">
        <v>2006</v>
      </c>
      <c r="B16" s="56">
        <v>108408827</v>
      </c>
      <c r="C16" s="8"/>
      <c r="D16" s="55">
        <v>322095</v>
      </c>
      <c r="E16" s="57">
        <f t="shared" si="0"/>
        <v>297.111415106447</v>
      </c>
      <c r="F16" s="57">
        <f t="shared" si="1"/>
        <v>292.28500000000003</v>
      </c>
    </row>
    <row r="17" spans="1:24">
      <c r="A17">
        <v>2007</v>
      </c>
      <c r="B17" s="56">
        <v>109787388</v>
      </c>
      <c r="C17" s="8"/>
      <c r="D17" s="55">
        <v>350610</v>
      </c>
      <c r="E17" s="57">
        <f t="shared" si="0"/>
        <v>319.3536219296883</v>
      </c>
      <c r="F17" s="57">
        <f t="shared" si="1"/>
        <v>319.60599999999999</v>
      </c>
    </row>
    <row r="18" spans="1:24">
      <c r="A18">
        <v>2008</v>
      </c>
      <c r="B18" s="56">
        <v>111299015</v>
      </c>
      <c r="C18" s="8"/>
      <c r="D18" s="8">
        <v>348567</v>
      </c>
      <c r="E18" s="57">
        <f t="shared" si="0"/>
        <v>313.18066920897729</v>
      </c>
      <c r="F18" s="57">
        <f t="shared" si="1"/>
        <v>346.92700000000002</v>
      </c>
    </row>
    <row r="19" spans="1:24" ht="15.75">
      <c r="A19">
        <v>2009</v>
      </c>
      <c r="B19" s="56">
        <v>112852594</v>
      </c>
      <c r="C19" s="8"/>
      <c r="D19" s="8">
        <v>374261</v>
      </c>
      <c r="E19" s="57">
        <f t="shared" si="0"/>
        <v>331.63703795767424</v>
      </c>
      <c r="F19" s="57">
        <f t="shared" si="1"/>
        <v>374.24800000000005</v>
      </c>
      <c r="H19" s="136"/>
      <c r="I19" s="136"/>
      <c r="J19" s="136"/>
      <c r="K19" s="137" t="s">
        <v>143</v>
      </c>
      <c r="L19" s="136"/>
      <c r="M19" s="136"/>
      <c r="N19" s="136"/>
      <c r="O19" s="136"/>
      <c r="V19" t="s">
        <v>55</v>
      </c>
    </row>
    <row r="20" spans="1:24">
      <c r="A20">
        <v>2010</v>
      </c>
      <c r="B20" s="56">
        <v>114255555.4490363</v>
      </c>
      <c r="C20" s="8"/>
      <c r="D20" s="8">
        <v>499666</v>
      </c>
      <c r="E20" s="57">
        <f t="shared" si="0"/>
        <v>437.32315512909662</v>
      </c>
      <c r="F20" s="57">
        <f t="shared" si="1"/>
        <v>401.56900000000002</v>
      </c>
      <c r="H20" s="136"/>
      <c r="I20" s="136"/>
      <c r="J20" s="136"/>
      <c r="K20" s="136"/>
      <c r="L20" s="136"/>
      <c r="M20" s="136"/>
      <c r="N20" s="136"/>
      <c r="O20" s="136"/>
      <c r="U20">
        <v>2005</v>
      </c>
      <c r="V20">
        <v>250.5</v>
      </c>
    </row>
    <row r="21" spans="1:24">
      <c r="A21">
        <v>2011</v>
      </c>
      <c r="B21" s="56">
        <v>115682867.70444767</v>
      </c>
      <c r="C21" s="8"/>
      <c r="D21" s="8">
        <v>444342</v>
      </c>
      <c r="E21" s="57">
        <f t="shared" si="0"/>
        <v>384.10354862158761</v>
      </c>
      <c r="F21" s="57">
        <f t="shared" si="1"/>
        <v>428.89000000000004</v>
      </c>
      <c r="L21" s="114" t="s">
        <v>48</v>
      </c>
      <c r="M21" s="75"/>
      <c r="N21" s="52" t="s">
        <v>139</v>
      </c>
      <c r="O21" s="52" t="s">
        <v>140</v>
      </c>
      <c r="U21">
        <v>2006</v>
      </c>
      <c r="V21">
        <v>302.7</v>
      </c>
    </row>
    <row r="22" spans="1:24">
      <c r="A22">
        <v>2012</v>
      </c>
      <c r="B22" s="56">
        <v>117053749.70031475</v>
      </c>
      <c r="C22" s="8"/>
      <c r="D22" s="8">
        <v>425721</v>
      </c>
      <c r="E22" s="57">
        <f t="shared" si="0"/>
        <v>363.69702046277575</v>
      </c>
      <c r="F22" s="57">
        <f t="shared" si="1"/>
        <v>456.21100000000001</v>
      </c>
      <c r="L22" s="75" t="s">
        <v>137</v>
      </c>
      <c r="M22" s="75"/>
      <c r="U22">
        <v>2007</v>
      </c>
      <c r="V22">
        <v>331.4</v>
      </c>
    </row>
    <row r="23" spans="1:24">
      <c r="A23">
        <v>2013</v>
      </c>
      <c r="B23" s="56">
        <v>118395053.83857793</v>
      </c>
      <c r="C23" s="8">
        <v>62454</v>
      </c>
      <c r="D23" s="8">
        <v>430479</v>
      </c>
      <c r="E23" s="57">
        <f t="shared" si="0"/>
        <v>363.59542568976173</v>
      </c>
      <c r="F23" s="57">
        <f t="shared" si="1"/>
        <v>483.53200000000004</v>
      </c>
      <c r="I23" s="46" t="s">
        <v>61</v>
      </c>
      <c r="J23" s="46" t="s">
        <v>43</v>
      </c>
      <c r="K23" s="46"/>
      <c r="L23" s="114">
        <v>41.54</v>
      </c>
      <c r="M23" s="75"/>
      <c r="N23" s="46"/>
      <c r="O23" s="46"/>
      <c r="U23">
        <v>2008</v>
      </c>
      <c r="V23">
        <v>352.9</v>
      </c>
    </row>
    <row r="24" spans="1:24">
      <c r="A24">
        <v>2014</v>
      </c>
      <c r="B24" s="56">
        <v>119713203.47999948</v>
      </c>
      <c r="C24" s="11">
        <v>80974</v>
      </c>
      <c r="D24" s="8">
        <v>456283</v>
      </c>
      <c r="E24" s="57">
        <f t="shared" si="0"/>
        <v>381.14676304375342</v>
      </c>
      <c r="F24" s="57">
        <f t="shared" si="1"/>
        <v>510.85300000000001</v>
      </c>
      <c r="I24" s="46" t="s">
        <v>62</v>
      </c>
      <c r="J24" s="46" t="s">
        <v>45</v>
      </c>
      <c r="K24" s="46" t="s">
        <v>46</v>
      </c>
      <c r="L24" s="75">
        <v>6</v>
      </c>
      <c r="M24" s="114" t="s">
        <v>138</v>
      </c>
      <c r="N24" s="46" t="s">
        <v>63</v>
      </c>
      <c r="O24" s="46" t="s">
        <v>44</v>
      </c>
      <c r="U24">
        <v>2009</v>
      </c>
      <c r="V24">
        <v>351.3</v>
      </c>
      <c r="X24">
        <f>C23/D23</f>
        <v>0.14508024781696668</v>
      </c>
    </row>
    <row r="25" spans="1:24">
      <c r="A25">
        <v>2015</v>
      </c>
      <c r="B25" s="56">
        <v>121005815.41577512</v>
      </c>
      <c r="C25" s="8">
        <v>102198</v>
      </c>
      <c r="D25" s="8">
        <v>834313</v>
      </c>
      <c r="E25" s="57">
        <f t="shared" si="0"/>
        <v>689.48173865306103</v>
      </c>
      <c r="F25" s="57">
        <f t="shared" si="1"/>
        <v>538.17399999999998</v>
      </c>
      <c r="J25" s="26">
        <f>Resumen!R34</f>
        <v>326.3366684799874</v>
      </c>
      <c r="K25">
        <v>0.01</v>
      </c>
      <c r="L25" s="115">
        <v>5</v>
      </c>
      <c r="M25" s="114" t="s">
        <v>49</v>
      </c>
      <c r="N25" s="46" t="s">
        <v>64</v>
      </c>
      <c r="O25">
        <v>0.1</v>
      </c>
      <c r="U25">
        <v>2010</v>
      </c>
      <c r="V25">
        <v>461</v>
      </c>
      <c r="X25">
        <f>C24/D24</f>
        <v>0.17746442449094094</v>
      </c>
    </row>
    <row r="26" spans="1:24">
      <c r="A26">
        <v>2016</v>
      </c>
      <c r="B26" s="56">
        <v>122273473.32093555</v>
      </c>
      <c r="C26" s="8">
        <f>44463+59057</f>
        <v>103520</v>
      </c>
      <c r="D26" s="8">
        <f>413079+495111</f>
        <v>908190</v>
      </c>
      <c r="E26" s="57">
        <f t="shared" si="0"/>
        <v>742.75308890280826</v>
      </c>
      <c r="F26" s="57">
        <f t="shared" si="1"/>
        <v>565.495</v>
      </c>
      <c r="G26" s="26">
        <f>F26</f>
        <v>565.495</v>
      </c>
      <c r="H26" s="26">
        <f>G26</f>
        <v>565.495</v>
      </c>
      <c r="I26" s="8">
        <f t="shared" ref="I26:I53" si="2">INT((G26-H26)*B26/100000)</f>
        <v>0</v>
      </c>
      <c r="J26" s="12">
        <f t="shared" ref="J26:J53" si="3">I26*$J$25</f>
        <v>0</v>
      </c>
      <c r="K26" s="12">
        <f t="shared" ref="K26:K53" si="4">I26*$J$25*$K$25</f>
        <v>0</v>
      </c>
      <c r="L26" s="12">
        <f>I26*$L$23*$L$25*$L$24</f>
        <v>0</v>
      </c>
      <c r="N26" s="65">
        <f t="shared" ref="N26:N53" si="5">SUM(J26:L26)</f>
        <v>0</v>
      </c>
      <c r="U26">
        <v>2011</v>
      </c>
      <c r="V26">
        <v>406.86</v>
      </c>
      <c r="X26">
        <f>C25/D25</f>
        <v>0.12249359652792177</v>
      </c>
    </row>
    <row r="27" spans="1:24">
      <c r="A27">
        <v>2017</v>
      </c>
      <c r="B27" s="8">
        <v>123518269.71983927</v>
      </c>
      <c r="G27" s="49">
        <f t="shared" ref="G27:G53" si="6">$F$8*(A27-$A$11)+$F$9</f>
        <v>592.81600000000003</v>
      </c>
      <c r="H27" s="26">
        <f>G27</f>
        <v>592.81600000000003</v>
      </c>
      <c r="I27" s="8">
        <f t="shared" si="2"/>
        <v>0</v>
      </c>
      <c r="J27" s="12">
        <f t="shared" si="3"/>
        <v>0</v>
      </c>
      <c r="K27" s="12">
        <f t="shared" si="4"/>
        <v>0</v>
      </c>
      <c r="L27" s="12">
        <f t="shared" ref="L27:L53" si="7">I27*$L$23*$L$25*$L$24</f>
        <v>0</v>
      </c>
      <c r="N27" s="65">
        <f t="shared" si="5"/>
        <v>0</v>
      </c>
      <c r="O27" s="8">
        <f t="shared" ref="O27:O53" si="8">N27/(1+$O$25)^(A27-$A$26)</f>
        <v>0</v>
      </c>
      <c r="U27">
        <v>2012</v>
      </c>
      <c r="V27">
        <v>364.17</v>
      </c>
      <c r="X27">
        <f>C26/D26</f>
        <v>0.11398495909446262</v>
      </c>
    </row>
    <row r="28" spans="1:24">
      <c r="A28">
        <v>2018</v>
      </c>
      <c r="B28" s="8">
        <v>124737788.61429209</v>
      </c>
      <c r="G28" s="49">
        <f t="shared" si="6"/>
        <v>620.13700000000006</v>
      </c>
      <c r="H28" s="26">
        <f>G28</f>
        <v>620.13700000000006</v>
      </c>
      <c r="I28" s="8">
        <f t="shared" si="2"/>
        <v>0</v>
      </c>
      <c r="J28" s="12">
        <f t="shared" si="3"/>
        <v>0</v>
      </c>
      <c r="K28" s="12">
        <f t="shared" si="4"/>
        <v>0</v>
      </c>
      <c r="L28" s="12">
        <f t="shared" si="7"/>
        <v>0</v>
      </c>
      <c r="N28" s="65">
        <f t="shared" si="5"/>
        <v>0</v>
      </c>
      <c r="O28" s="8">
        <f t="shared" si="8"/>
        <v>0</v>
      </c>
      <c r="U28">
        <v>2013</v>
      </c>
      <c r="V28">
        <v>363.6</v>
      </c>
    </row>
    <row r="29" spans="1:24">
      <c r="A29">
        <v>2019</v>
      </c>
      <c r="B29" s="8">
        <v>125929439.1600115</v>
      </c>
      <c r="G29" s="49">
        <f t="shared" si="6"/>
        <v>647.45800000000008</v>
      </c>
      <c r="H29" s="26">
        <f t="shared" ref="H29:H52" si="9">H28+$H$56</f>
        <v>643.69887884615389</v>
      </c>
      <c r="I29" s="8">
        <f t="shared" si="2"/>
        <v>4733</v>
      </c>
      <c r="J29" s="12">
        <f t="shared" si="3"/>
        <v>1544551.4519157803</v>
      </c>
      <c r="K29" s="12">
        <f t="shared" si="4"/>
        <v>15445.514519157803</v>
      </c>
      <c r="L29" s="12">
        <f t="shared" si="7"/>
        <v>5898264.6000000006</v>
      </c>
      <c r="N29" s="65">
        <f t="shared" si="5"/>
        <v>7458261.5664349385</v>
      </c>
      <c r="O29" s="8">
        <f t="shared" si="8"/>
        <v>5603502.3038579533</v>
      </c>
      <c r="U29">
        <v>2014</v>
      </c>
      <c r="V29">
        <v>381.15</v>
      </c>
      <c r="W29" s="49"/>
    </row>
    <row r="30" spans="1:24">
      <c r="A30">
        <v>2020</v>
      </c>
      <c r="B30" s="8">
        <v>127091642.26581174</v>
      </c>
      <c r="G30" s="49">
        <f t="shared" si="6"/>
        <v>674.779</v>
      </c>
      <c r="H30" s="26">
        <f t="shared" si="9"/>
        <v>667.26075769230772</v>
      </c>
      <c r="I30" s="8">
        <f t="shared" si="2"/>
        <v>9555</v>
      </c>
      <c r="J30" s="12">
        <f t="shared" si="3"/>
        <v>3118146.8673262796</v>
      </c>
      <c r="K30" s="12">
        <f t="shared" si="4"/>
        <v>31181.468673262796</v>
      </c>
      <c r="L30" s="12">
        <f t="shared" si="7"/>
        <v>11907441</v>
      </c>
      <c r="N30" s="65">
        <f t="shared" si="5"/>
        <v>15056769.335999543</v>
      </c>
      <c r="O30" s="8">
        <f t="shared" si="8"/>
        <v>10283976.050815886</v>
      </c>
      <c r="U30">
        <v>2015</v>
      </c>
      <c r="V30">
        <v>690.31</v>
      </c>
      <c r="W30" s="49">
        <f>D26/V30</f>
        <v>1315.6263128159812</v>
      </c>
    </row>
    <row r="31" spans="1:24">
      <c r="A31">
        <v>2021</v>
      </c>
      <c r="B31" s="8">
        <v>128230519.31929573</v>
      </c>
      <c r="G31" s="49">
        <f t="shared" si="6"/>
        <v>702.10000000000014</v>
      </c>
      <c r="H31" s="26">
        <f t="shared" si="9"/>
        <v>690.82263653846155</v>
      </c>
      <c r="I31" s="8">
        <f t="shared" si="2"/>
        <v>14461</v>
      </c>
      <c r="J31" s="12">
        <f t="shared" si="3"/>
        <v>4719154.5628890973</v>
      </c>
      <c r="K31" s="12">
        <f t="shared" si="4"/>
        <v>47191.54562889097</v>
      </c>
      <c r="L31" s="12">
        <f t="shared" si="7"/>
        <v>18021298.199999999</v>
      </c>
      <c r="N31" s="65">
        <f t="shared" si="5"/>
        <v>22787644.308517989</v>
      </c>
      <c r="O31" s="8">
        <f t="shared" si="8"/>
        <v>14149334.253446411</v>
      </c>
    </row>
    <row r="32" spans="1:24">
      <c r="A32">
        <v>2022</v>
      </c>
      <c r="B32" s="8">
        <v>129351846.12280837</v>
      </c>
      <c r="G32" s="49">
        <f t="shared" si="6"/>
        <v>729.42100000000005</v>
      </c>
      <c r="H32" s="26">
        <f t="shared" si="9"/>
        <v>714.38451538461538</v>
      </c>
      <c r="I32" s="8">
        <f t="shared" si="2"/>
        <v>19449</v>
      </c>
      <c r="J32" s="12">
        <f t="shared" si="3"/>
        <v>6346921.8652672749</v>
      </c>
      <c r="K32" s="12">
        <f t="shared" si="4"/>
        <v>63469.218652672753</v>
      </c>
      <c r="L32" s="12">
        <f t="shared" si="7"/>
        <v>24237343.799999997</v>
      </c>
      <c r="N32" s="65">
        <f t="shared" si="5"/>
        <v>30647734.883919947</v>
      </c>
      <c r="O32" s="8">
        <f t="shared" si="8"/>
        <v>17299847.357172534</v>
      </c>
    </row>
    <row r="33" spans="1:15">
      <c r="A33">
        <v>2023</v>
      </c>
      <c r="B33" s="8">
        <v>130451690.95603113</v>
      </c>
      <c r="G33" s="49">
        <f t="shared" si="6"/>
        <v>756.74199999999996</v>
      </c>
      <c r="H33" s="26">
        <f t="shared" si="9"/>
        <v>737.94639423076922</v>
      </c>
      <c r="I33" s="8">
        <f t="shared" si="2"/>
        <v>24519</v>
      </c>
      <c r="J33" s="12">
        <f t="shared" si="3"/>
        <v>8001448.7744608112</v>
      </c>
      <c r="K33" s="12">
        <f t="shared" si="4"/>
        <v>80014.487744608108</v>
      </c>
      <c r="L33" s="12">
        <f t="shared" si="7"/>
        <v>30555577.799999997</v>
      </c>
      <c r="N33" s="65">
        <f t="shared" si="5"/>
        <v>38637041.062205419</v>
      </c>
      <c r="O33" s="8">
        <f t="shared" si="8"/>
        <v>19826911.285483867</v>
      </c>
    </row>
    <row r="34" spans="1:15">
      <c r="A34">
        <v>2024</v>
      </c>
      <c r="B34" s="8">
        <v>131529467.50338459</v>
      </c>
      <c r="G34" s="49">
        <f t="shared" si="6"/>
        <v>784.0630000000001</v>
      </c>
      <c r="H34" s="26">
        <f t="shared" si="9"/>
        <v>761.50827307692305</v>
      </c>
      <c r="I34" s="8">
        <f t="shared" si="2"/>
        <v>29666</v>
      </c>
      <c r="J34" s="12">
        <f t="shared" si="3"/>
        <v>9681103.607127307</v>
      </c>
      <c r="K34" s="12">
        <f t="shared" si="4"/>
        <v>96811.036071273076</v>
      </c>
      <c r="L34" s="12">
        <f t="shared" si="7"/>
        <v>36969769.199999996</v>
      </c>
      <c r="N34" s="65">
        <f t="shared" si="5"/>
        <v>46747683.843198575</v>
      </c>
      <c r="O34" s="8">
        <f t="shared" si="8"/>
        <v>21808139.520563439</v>
      </c>
    </row>
    <row r="35" spans="1:15">
      <c r="A35">
        <v>2025</v>
      </c>
      <c r="B35" s="8">
        <v>132584052.76871851</v>
      </c>
      <c r="G35" s="49">
        <f t="shared" si="6"/>
        <v>811.38400000000001</v>
      </c>
      <c r="H35" s="26">
        <f t="shared" si="9"/>
        <v>785.07015192307688</v>
      </c>
      <c r="I35" s="8">
        <f t="shared" si="2"/>
        <v>34887</v>
      </c>
      <c r="J35" s="12">
        <f t="shared" si="3"/>
        <v>11384907.35326132</v>
      </c>
      <c r="K35" s="12">
        <f t="shared" si="4"/>
        <v>113849.0735326132</v>
      </c>
      <c r="L35" s="12">
        <f t="shared" si="7"/>
        <v>43476179.400000006</v>
      </c>
      <c r="N35" s="65">
        <f t="shared" si="5"/>
        <v>54974935.826793939</v>
      </c>
      <c r="O35" s="8">
        <f t="shared" si="8"/>
        <v>23314739.354323491</v>
      </c>
    </row>
    <row r="36" spans="1:15">
      <c r="A36">
        <v>2026</v>
      </c>
      <c r="B36" s="8">
        <v>133614189.83441433</v>
      </c>
      <c r="G36" s="49">
        <f t="shared" si="6"/>
        <v>838.70500000000015</v>
      </c>
      <c r="H36" s="26">
        <f t="shared" si="9"/>
        <v>808.63203076923071</v>
      </c>
      <c r="I36" s="8">
        <f t="shared" si="2"/>
        <v>40181</v>
      </c>
      <c r="J36" s="12">
        <f t="shared" si="3"/>
        <v>13112533.676194374</v>
      </c>
      <c r="K36" s="12">
        <f t="shared" si="4"/>
        <v>131125.33676194373</v>
      </c>
      <c r="L36" s="12">
        <f t="shared" si="7"/>
        <v>50073562.200000003</v>
      </c>
      <c r="N36" s="65">
        <f t="shared" si="5"/>
        <v>63317221.212956324</v>
      </c>
      <c r="O36" s="8">
        <f t="shared" si="8"/>
        <v>24411529.74398049</v>
      </c>
    </row>
    <row r="37" spans="1:15">
      <c r="A37">
        <v>2027</v>
      </c>
      <c r="B37" s="8">
        <v>134619410.57512766</v>
      </c>
      <c r="G37" s="49">
        <f t="shared" si="6"/>
        <v>866.02600000000007</v>
      </c>
      <c r="H37" s="26">
        <f t="shared" si="9"/>
        <v>832.19390961538454</v>
      </c>
      <c r="I37" s="8">
        <f t="shared" si="2"/>
        <v>45544</v>
      </c>
      <c r="J37" s="12">
        <f t="shared" si="3"/>
        <v>14862677.229252545</v>
      </c>
      <c r="K37" s="12">
        <f t="shared" si="4"/>
        <v>148626.77229252545</v>
      </c>
      <c r="L37" s="12">
        <f t="shared" si="7"/>
        <v>56756932.800000004</v>
      </c>
      <c r="N37" s="65">
        <f t="shared" si="5"/>
        <v>71768236.801545069</v>
      </c>
      <c r="O37" s="8">
        <f t="shared" si="8"/>
        <v>25154329.17547749</v>
      </c>
    </row>
    <row r="38" spans="1:15">
      <c r="A38">
        <v>2028</v>
      </c>
      <c r="B38" s="8">
        <v>135599641.27262661</v>
      </c>
      <c r="G38" s="49">
        <f t="shared" si="6"/>
        <v>893.34699999999998</v>
      </c>
      <c r="H38" s="26">
        <f t="shared" si="9"/>
        <v>855.75578846153837</v>
      </c>
      <c r="I38" s="8">
        <f t="shared" si="2"/>
        <v>50973</v>
      </c>
      <c r="J38" s="12">
        <f t="shared" si="3"/>
        <v>16634359.002430398</v>
      </c>
      <c r="K38" s="12">
        <f t="shared" si="4"/>
        <v>166343.59002430399</v>
      </c>
      <c r="L38" s="12">
        <f t="shared" si="7"/>
        <v>63522552.599999994</v>
      </c>
      <c r="N38" s="65">
        <f t="shared" si="5"/>
        <v>80323255.192454696</v>
      </c>
      <c r="O38" s="8">
        <f t="shared" si="8"/>
        <v>25593464.483129483</v>
      </c>
    </row>
    <row r="39" spans="1:15">
      <c r="A39">
        <v>2029</v>
      </c>
      <c r="B39" s="8">
        <v>136554493.65607554</v>
      </c>
      <c r="G39" s="49">
        <f t="shared" si="6"/>
        <v>920.66800000000012</v>
      </c>
      <c r="H39" s="26">
        <f t="shared" si="9"/>
        <v>879.3176673076922</v>
      </c>
      <c r="I39" s="8">
        <f t="shared" si="2"/>
        <v>56465</v>
      </c>
      <c r="J39" s="12">
        <f t="shared" si="3"/>
        <v>18426599.98572249</v>
      </c>
      <c r="K39" s="12">
        <f t="shared" si="4"/>
        <v>184265.9998572249</v>
      </c>
      <c r="L39" s="12">
        <f t="shared" si="7"/>
        <v>70366683</v>
      </c>
      <c r="N39" s="65">
        <f t="shared" si="5"/>
        <v>88977548.985579714</v>
      </c>
      <c r="O39" s="8">
        <f t="shared" si="8"/>
        <v>25773626.5373987</v>
      </c>
    </row>
    <row r="40" spans="1:15">
      <c r="A40">
        <v>2030</v>
      </c>
      <c r="B40" s="8">
        <v>137481335.77616751</v>
      </c>
      <c r="G40" s="49">
        <f t="shared" si="6"/>
        <v>947.98900000000003</v>
      </c>
      <c r="H40" s="26">
        <f t="shared" si="9"/>
        <v>902.87954615384604</v>
      </c>
      <c r="I40" s="8">
        <f t="shared" si="2"/>
        <v>62017</v>
      </c>
      <c r="J40" s="12">
        <f t="shared" si="3"/>
        <v>20238421.169123378</v>
      </c>
      <c r="K40" s="12">
        <f t="shared" si="4"/>
        <v>202384.2116912338</v>
      </c>
      <c r="L40" s="12">
        <f t="shared" si="7"/>
        <v>77285585.400000006</v>
      </c>
      <c r="N40" s="65">
        <f t="shared" si="5"/>
        <v>97726390.780814618</v>
      </c>
      <c r="O40" s="8">
        <f t="shared" si="8"/>
        <v>25734413.063118022</v>
      </c>
    </row>
    <row r="41" spans="1:15">
      <c r="A41">
        <v>2031</v>
      </c>
      <c r="B41" s="8">
        <v>138383142.07397586</v>
      </c>
      <c r="G41" s="49">
        <f t="shared" si="6"/>
        <v>975.31</v>
      </c>
      <c r="H41" s="26">
        <f t="shared" si="9"/>
        <v>926.44142499999987</v>
      </c>
      <c r="I41" s="8">
        <f t="shared" si="2"/>
        <v>67625</v>
      </c>
      <c r="J41" s="12">
        <f t="shared" si="3"/>
        <v>22068517.205959149</v>
      </c>
      <c r="K41" s="12">
        <f t="shared" si="4"/>
        <v>220685.17205959148</v>
      </c>
      <c r="L41" s="12">
        <f t="shared" si="7"/>
        <v>84274275</v>
      </c>
      <c r="N41" s="65">
        <f t="shared" si="5"/>
        <v>106563477.37801874</v>
      </c>
      <c r="O41" s="8">
        <f t="shared" si="8"/>
        <v>25510449.237428389</v>
      </c>
    </row>
    <row r="42" spans="1:15">
      <c r="A42">
        <v>2032</v>
      </c>
      <c r="B42" s="8">
        <v>139263092.29035321</v>
      </c>
      <c r="G42" s="49">
        <f t="shared" si="6"/>
        <v>1002.6310000000001</v>
      </c>
      <c r="H42" s="26">
        <f t="shared" si="9"/>
        <v>950.0033038461537</v>
      </c>
      <c r="I42" s="8">
        <f t="shared" si="2"/>
        <v>73290</v>
      </c>
      <c r="J42" s="12">
        <f t="shared" si="3"/>
        <v>23917214.432898276</v>
      </c>
      <c r="K42" s="12">
        <f t="shared" si="4"/>
        <v>239172.14432898277</v>
      </c>
      <c r="L42" s="12">
        <f t="shared" si="7"/>
        <v>91333998</v>
      </c>
      <c r="N42" s="65">
        <f t="shared" si="5"/>
        <v>115490384.57722726</v>
      </c>
      <c r="O42" s="8">
        <f t="shared" si="8"/>
        <v>25134072.587613869</v>
      </c>
    </row>
    <row r="43" spans="1:15">
      <c r="A43">
        <v>2033</v>
      </c>
      <c r="B43" s="8">
        <v>140118934.10467148</v>
      </c>
      <c r="G43" s="49">
        <f t="shared" si="6"/>
        <v>1029.952</v>
      </c>
      <c r="H43" s="26">
        <f t="shared" si="9"/>
        <v>973.56518269230753</v>
      </c>
      <c r="I43" s="8">
        <f t="shared" si="2"/>
        <v>79008</v>
      </c>
      <c r="J43" s="12">
        <f t="shared" si="3"/>
        <v>25783207.503266845</v>
      </c>
      <c r="K43" s="12">
        <f t="shared" si="4"/>
        <v>257832.07503266845</v>
      </c>
      <c r="L43" s="12">
        <f t="shared" si="7"/>
        <v>98459769.599999994</v>
      </c>
      <c r="N43" s="65">
        <f t="shared" si="5"/>
        <v>124500809.17829952</v>
      </c>
      <c r="O43" s="8">
        <f t="shared" si="8"/>
        <v>24631821.369679559</v>
      </c>
    </row>
    <row r="44" spans="1:15">
      <c r="A44">
        <v>2034</v>
      </c>
      <c r="B44" s="8">
        <v>140950311.77190983</v>
      </c>
      <c r="G44" s="49">
        <f t="shared" si="6"/>
        <v>1057.2730000000001</v>
      </c>
      <c r="H44" s="26">
        <f t="shared" si="9"/>
        <v>997.12706153846136</v>
      </c>
      <c r="I44" s="8">
        <f t="shared" si="2"/>
        <v>84775</v>
      </c>
      <c r="J44" s="12">
        <f t="shared" si="3"/>
        <v>27665191.070390932</v>
      </c>
      <c r="K44" s="12">
        <f t="shared" si="4"/>
        <v>276651.91070390935</v>
      </c>
      <c r="L44" s="12">
        <f t="shared" si="7"/>
        <v>105646605</v>
      </c>
      <c r="N44" s="65">
        <f t="shared" si="5"/>
        <v>133588447.98109484</v>
      </c>
      <c r="O44" s="8">
        <f t="shared" si="8"/>
        <v>24027056.599729653</v>
      </c>
    </row>
    <row r="45" spans="1:15">
      <c r="A45">
        <v>2035</v>
      </c>
      <c r="B45" s="8">
        <v>141756919.61498782</v>
      </c>
      <c r="G45" s="49">
        <f t="shared" si="6"/>
        <v>1084.5940000000001</v>
      </c>
      <c r="H45" s="26">
        <f t="shared" si="9"/>
        <v>1020.6889403846152</v>
      </c>
      <c r="I45" s="8">
        <f t="shared" si="2"/>
        <v>90589</v>
      </c>
      <c r="J45" s="12">
        <f t="shared" si="3"/>
        <v>29562512.460933577</v>
      </c>
      <c r="K45" s="12">
        <f t="shared" si="4"/>
        <v>295625.12460933579</v>
      </c>
      <c r="L45" s="12">
        <f t="shared" si="7"/>
        <v>112892011.80000001</v>
      </c>
      <c r="N45" s="65">
        <f t="shared" si="5"/>
        <v>142750149.38554293</v>
      </c>
      <c r="O45" s="8">
        <f t="shared" si="8"/>
        <v>23340790.116221111</v>
      </c>
    </row>
    <row r="46" spans="1:15">
      <c r="A46">
        <v>2036</v>
      </c>
      <c r="B46" s="8">
        <v>142538744.34624964</v>
      </c>
      <c r="G46" s="49">
        <f t="shared" si="6"/>
        <v>1111.915</v>
      </c>
      <c r="H46" s="26">
        <f t="shared" si="9"/>
        <v>1044.2508192307691</v>
      </c>
      <c r="I46" s="8">
        <f t="shared" si="2"/>
        <v>96447</v>
      </c>
      <c r="J46" s="12">
        <f t="shared" si="3"/>
        <v>31474192.664889343</v>
      </c>
      <c r="K46" s="12">
        <f t="shared" si="4"/>
        <v>314741.92664889345</v>
      </c>
      <c r="L46" s="12">
        <f t="shared" si="7"/>
        <v>120192251.39999999</v>
      </c>
      <c r="N46" s="65">
        <f t="shared" si="5"/>
        <v>151981185.99153823</v>
      </c>
      <c r="O46" s="8">
        <f t="shared" si="8"/>
        <v>22591034.877194375</v>
      </c>
    </row>
    <row r="47" spans="1:15">
      <c r="A47">
        <v>2037</v>
      </c>
      <c r="B47" s="8">
        <v>143295718.95146972</v>
      </c>
      <c r="G47" s="49">
        <f t="shared" si="6"/>
        <v>1139.2360000000001</v>
      </c>
      <c r="H47" s="26">
        <f t="shared" si="9"/>
        <v>1067.812698076923</v>
      </c>
      <c r="I47" s="8">
        <f t="shared" si="2"/>
        <v>102346</v>
      </c>
      <c r="J47" s="12">
        <f t="shared" si="3"/>
        <v>33399252.672252789</v>
      </c>
      <c r="K47" s="12">
        <f t="shared" si="4"/>
        <v>333992.52672252792</v>
      </c>
      <c r="L47" s="12">
        <f t="shared" si="7"/>
        <v>127543585.19999999</v>
      </c>
      <c r="N47" s="65">
        <f t="shared" si="5"/>
        <v>161276830.39897531</v>
      </c>
      <c r="O47" s="8">
        <f t="shared" si="8"/>
        <v>21793430.169761963</v>
      </c>
    </row>
    <row r="48" spans="1:15">
      <c r="A48">
        <v>2038</v>
      </c>
      <c r="B48" s="8">
        <v>144027641.40966272</v>
      </c>
      <c r="G48" s="49">
        <f t="shared" si="6"/>
        <v>1166.557</v>
      </c>
      <c r="H48" s="26">
        <f t="shared" si="9"/>
        <v>1091.3745769230768</v>
      </c>
      <c r="I48" s="8">
        <f t="shared" si="2"/>
        <v>108283</v>
      </c>
      <c r="J48" s="12">
        <f t="shared" si="3"/>
        <v>35336713.473018475</v>
      </c>
      <c r="K48" s="12">
        <f t="shared" si="4"/>
        <v>353367.13473018474</v>
      </c>
      <c r="L48" s="12">
        <f t="shared" si="7"/>
        <v>134942274.60000002</v>
      </c>
      <c r="N48" s="65">
        <f t="shared" si="5"/>
        <v>170632355.20774868</v>
      </c>
      <c r="O48" s="8">
        <f t="shared" si="8"/>
        <v>20961497.798664555</v>
      </c>
    </row>
    <row r="49" spans="1:15">
      <c r="A49">
        <v>2039</v>
      </c>
      <c r="B49" s="8">
        <v>144734345.63020808</v>
      </c>
      <c r="G49" s="49">
        <f t="shared" si="6"/>
        <v>1193.8780000000002</v>
      </c>
      <c r="H49" s="26">
        <f t="shared" si="9"/>
        <v>1114.9364557692306</v>
      </c>
      <c r="I49" s="8">
        <f t="shared" si="2"/>
        <v>114255</v>
      </c>
      <c r="J49" s="12">
        <f t="shared" si="3"/>
        <v>37285596.057180963</v>
      </c>
      <c r="K49" s="12">
        <f t="shared" si="4"/>
        <v>372855.96057180961</v>
      </c>
      <c r="L49" s="12">
        <f t="shared" si="7"/>
        <v>142384581</v>
      </c>
      <c r="N49" s="65">
        <f t="shared" si="5"/>
        <v>180043033.01775277</v>
      </c>
      <c r="O49" s="8">
        <f t="shared" si="8"/>
        <v>20106874.251111507</v>
      </c>
    </row>
    <row r="50" spans="1:15">
      <c r="A50">
        <v>2040</v>
      </c>
      <c r="B50" s="8">
        <v>145415858.7078613</v>
      </c>
      <c r="G50" s="49">
        <f t="shared" si="6"/>
        <v>1221.1990000000001</v>
      </c>
      <c r="H50" s="26">
        <f t="shared" si="9"/>
        <v>1138.4983346153845</v>
      </c>
      <c r="I50" s="8">
        <f t="shared" si="2"/>
        <v>120259</v>
      </c>
      <c r="J50" s="12">
        <f t="shared" si="3"/>
        <v>39244921.414734803</v>
      </c>
      <c r="K50" s="12">
        <f t="shared" si="4"/>
        <v>392449.21414734802</v>
      </c>
      <c r="L50" s="12">
        <f t="shared" si="7"/>
        <v>149866765.80000001</v>
      </c>
      <c r="N50" s="65">
        <f t="shared" si="5"/>
        <v>189504136.42888218</v>
      </c>
      <c r="O50" s="8">
        <f t="shared" si="8"/>
        <v>19239520.77342483</v>
      </c>
    </row>
    <row r="51" spans="1:15">
      <c r="A51">
        <v>2041</v>
      </c>
      <c r="B51" s="8">
        <v>146072453.29511857</v>
      </c>
      <c r="G51" s="49">
        <f t="shared" si="6"/>
        <v>1248.5200000000002</v>
      </c>
      <c r="H51" s="26">
        <f t="shared" si="9"/>
        <v>1162.0602134615383</v>
      </c>
      <c r="I51" s="8">
        <f t="shared" si="2"/>
        <v>126293</v>
      </c>
      <c r="J51" s="12">
        <f t="shared" si="3"/>
        <v>41214036.872343048</v>
      </c>
      <c r="K51" s="12">
        <f t="shared" si="4"/>
        <v>412140.3687234305</v>
      </c>
      <c r="L51" s="12">
        <f t="shared" si="7"/>
        <v>157386336.59999999</v>
      </c>
      <c r="N51" s="65">
        <f t="shared" si="5"/>
        <v>199012513.84106648</v>
      </c>
      <c r="O51" s="8">
        <f t="shared" si="8"/>
        <v>18368058.614688005</v>
      </c>
    </row>
    <row r="52" spans="1:15">
      <c r="A52">
        <v>2042</v>
      </c>
      <c r="B52" s="8">
        <v>146704226.83203495</v>
      </c>
      <c r="G52" s="49">
        <f t="shared" si="6"/>
        <v>1275.8410000000001</v>
      </c>
      <c r="H52" s="26">
        <f t="shared" si="9"/>
        <v>1185.6220923076921</v>
      </c>
      <c r="I52" s="8">
        <f t="shared" si="2"/>
        <v>132354</v>
      </c>
      <c r="J52" s="12">
        <f t="shared" si="3"/>
        <v>43191963.420000255</v>
      </c>
      <c r="K52" s="12">
        <f t="shared" si="4"/>
        <v>431919.63420000253</v>
      </c>
      <c r="L52" s="12">
        <f t="shared" si="7"/>
        <v>164939554.80000001</v>
      </c>
      <c r="N52" s="65">
        <f t="shared" si="5"/>
        <v>208563437.85420027</v>
      </c>
      <c r="O52" s="8">
        <f t="shared" si="8"/>
        <v>17499609.70908498</v>
      </c>
    </row>
    <row r="53" spans="1:15">
      <c r="A53">
        <v>2043</v>
      </c>
      <c r="B53" s="8">
        <v>147311185.63560259</v>
      </c>
      <c r="D53" s="50">
        <f>B53*G53/100000</f>
        <v>1919703.3929526315</v>
      </c>
      <c r="G53" s="49">
        <f t="shared" si="6"/>
        <v>1303.162</v>
      </c>
      <c r="H53" s="26">
        <f>G53-H55</f>
        <v>1205.4248500000001</v>
      </c>
      <c r="I53" s="8">
        <f t="shared" si="2"/>
        <v>143977</v>
      </c>
      <c r="J53" s="12">
        <f t="shared" si="3"/>
        <v>46984974.517743148</v>
      </c>
      <c r="K53" s="12">
        <f t="shared" si="4"/>
        <v>469849.7451774315</v>
      </c>
      <c r="L53" s="12">
        <f t="shared" si="7"/>
        <v>179424137.39999998</v>
      </c>
      <c r="N53" s="65">
        <f t="shared" si="5"/>
        <v>226878961.66292056</v>
      </c>
      <c r="O53" s="8">
        <f t="shared" si="8"/>
        <v>17305801.844673634</v>
      </c>
    </row>
    <row r="54" spans="1:15">
      <c r="C54" s="75"/>
      <c r="D54" s="75"/>
      <c r="E54" s="75"/>
      <c r="F54" s="75"/>
      <c r="G54" s="75"/>
      <c r="H54" s="86" t="s">
        <v>92</v>
      </c>
      <c r="I54" s="75"/>
      <c r="N54" s="46"/>
    </row>
    <row r="55" spans="1:15">
      <c r="C55" s="75"/>
      <c r="D55" s="75"/>
      <c r="E55" s="75"/>
      <c r="F55" s="81" t="s">
        <v>52</v>
      </c>
      <c r="G55" s="82">
        <v>7.4999999999999997E-2</v>
      </c>
      <c r="H55" s="83">
        <f>G53*G55</f>
        <v>97.73715</v>
      </c>
      <c r="I55" s="83">
        <f>SUM(I26:I53)</f>
        <v>1731951</v>
      </c>
      <c r="N55" s="70">
        <f>SUM(N26:N54)</f>
        <v>2729208446.7036881</v>
      </c>
      <c r="O55" s="70">
        <f>SUM(O26:O54)</f>
        <v>519463831.07804412</v>
      </c>
    </row>
    <row r="56" spans="1:15">
      <c r="C56" s="75"/>
      <c r="D56" s="75"/>
      <c r="E56" s="75"/>
      <c r="F56" s="75" t="s">
        <v>58</v>
      </c>
      <c r="G56" s="75" t="s">
        <v>91</v>
      </c>
      <c r="H56" s="84">
        <f>(H53-H27)/(A53-A27)</f>
        <v>23.561878846153849</v>
      </c>
      <c r="I56" s="75"/>
    </row>
    <row r="57" spans="1:15">
      <c r="I57" s="12"/>
    </row>
  </sheetData>
  <hyperlinks>
    <hyperlink ref="B5" r:id="rId1"/>
  </hyperlinks>
  <pageMargins left="0.7" right="0.7" top="0.75" bottom="0.75" header="0.3" footer="0.3"/>
  <pageSetup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A2" sqref="A2:G3"/>
    </sheetView>
  </sheetViews>
  <sheetFormatPr baseColWidth="10" defaultRowHeight="15"/>
  <cols>
    <col min="2" max="2" width="16.85546875" customWidth="1"/>
    <col min="3" max="3" width="14.7109375" customWidth="1"/>
    <col min="5" max="5" width="12.42578125" customWidth="1"/>
    <col min="9" max="9" width="15.85546875" customWidth="1"/>
    <col min="10" max="10" width="13.42578125" customWidth="1"/>
    <col min="11" max="11" width="14.28515625" customWidth="1"/>
    <col min="13" max="13" width="15.85546875" customWidth="1"/>
    <col min="15" max="15" width="14.42578125" customWidth="1"/>
    <col min="16" max="16" width="12.5703125" bestFit="1" customWidth="1"/>
    <col min="17" max="17" width="16.5703125" bestFit="1" customWidth="1"/>
    <col min="19" max="19" width="15.140625" bestFit="1" customWidth="1"/>
  </cols>
  <sheetData>
    <row r="1" spans="1:6" ht="18.75">
      <c r="B1" s="63" t="s">
        <v>96</v>
      </c>
    </row>
    <row r="2" spans="1:6">
      <c r="A2" t="s">
        <v>68</v>
      </c>
      <c r="B2" t="s">
        <v>70</v>
      </c>
    </row>
    <row r="3" spans="1:6">
      <c r="B3" s="58" t="s">
        <v>69</v>
      </c>
    </row>
    <row r="5" spans="1:6">
      <c r="E5">
        <v>27837</v>
      </c>
    </row>
    <row r="6" spans="1:6">
      <c r="E6">
        <v>-1.7000000000000001E-2</v>
      </c>
    </row>
    <row r="7" spans="1:6" ht="60">
      <c r="A7" s="46"/>
      <c r="B7" s="62" t="s">
        <v>71</v>
      </c>
      <c r="C7" s="62" t="s">
        <v>67</v>
      </c>
      <c r="D7" s="62" t="s">
        <v>72</v>
      </c>
      <c r="E7" s="46" t="s">
        <v>54</v>
      </c>
      <c r="F7" s="62" t="s">
        <v>77</v>
      </c>
    </row>
    <row r="8" spans="1:6">
      <c r="A8">
        <v>1995</v>
      </c>
      <c r="B8" s="8">
        <v>94490336</v>
      </c>
      <c r="C8" s="8">
        <v>7111232</v>
      </c>
      <c r="D8" s="8">
        <f t="shared" ref="D8:D29" si="0">INT(100000*C8/B8)</f>
        <v>7525</v>
      </c>
    </row>
    <row r="9" spans="1:6">
      <c r="A9">
        <v>1996</v>
      </c>
      <c r="B9" s="8">
        <v>95876664</v>
      </c>
      <c r="C9" s="8">
        <v>12627541</v>
      </c>
      <c r="D9" s="8">
        <f t="shared" si="0"/>
        <v>13170</v>
      </c>
    </row>
    <row r="10" spans="1:6">
      <c r="A10">
        <v>1997</v>
      </c>
      <c r="B10" s="8">
        <v>97204604</v>
      </c>
      <c r="C10" s="8">
        <v>18342400</v>
      </c>
      <c r="D10" s="8">
        <f t="shared" si="0"/>
        <v>18869</v>
      </c>
    </row>
    <row r="11" spans="1:6">
      <c r="A11">
        <v>1998</v>
      </c>
      <c r="B11" s="8">
        <v>98485424</v>
      </c>
      <c r="C11" s="8">
        <v>25476819</v>
      </c>
      <c r="D11" s="8">
        <f t="shared" si="0"/>
        <v>25868</v>
      </c>
    </row>
    <row r="12" spans="1:6">
      <c r="A12">
        <v>1999</v>
      </c>
      <c r="B12" s="8">
        <v>99706067</v>
      </c>
      <c r="C12" s="8">
        <v>27941744</v>
      </c>
      <c r="D12" s="8">
        <f t="shared" si="0"/>
        <v>28024</v>
      </c>
    </row>
    <row r="13" spans="1:6">
      <c r="A13">
        <v>2000</v>
      </c>
      <c r="B13" s="8">
        <v>100895811</v>
      </c>
      <c r="C13" s="8">
        <v>27103834</v>
      </c>
      <c r="D13" s="8">
        <f t="shared" si="0"/>
        <v>26863</v>
      </c>
    </row>
    <row r="14" spans="1:6">
      <c r="A14">
        <v>2001</v>
      </c>
      <c r="B14" s="8">
        <v>102122295</v>
      </c>
      <c r="C14" s="8">
        <v>27046941</v>
      </c>
      <c r="D14" s="8">
        <f t="shared" si="0"/>
        <v>26484</v>
      </c>
    </row>
    <row r="15" spans="1:6">
      <c r="A15">
        <v>2002</v>
      </c>
      <c r="B15" s="8">
        <v>103417944</v>
      </c>
      <c r="C15" s="8">
        <v>29021041</v>
      </c>
      <c r="D15" s="8">
        <f t="shared" si="0"/>
        <v>28061</v>
      </c>
    </row>
    <row r="16" spans="1:6">
      <c r="A16">
        <v>2003</v>
      </c>
      <c r="B16" s="8">
        <v>104719891</v>
      </c>
      <c r="C16" s="8">
        <v>24924283</v>
      </c>
      <c r="D16" s="8">
        <f t="shared" si="0"/>
        <v>23800</v>
      </c>
    </row>
    <row r="17" spans="1:15">
      <c r="A17">
        <v>2004</v>
      </c>
      <c r="B17" s="8">
        <v>105951569</v>
      </c>
      <c r="C17" s="8">
        <v>25355017</v>
      </c>
      <c r="D17" s="8">
        <f t="shared" si="0"/>
        <v>23930</v>
      </c>
    </row>
    <row r="18" spans="1:15">
      <c r="A18">
        <v>2005</v>
      </c>
      <c r="B18" s="8">
        <v>107151011</v>
      </c>
      <c r="C18" s="8">
        <v>26081448</v>
      </c>
      <c r="D18" s="8">
        <f t="shared" si="0"/>
        <v>24340</v>
      </c>
    </row>
    <row r="19" spans="1:15">
      <c r="A19">
        <v>2006</v>
      </c>
      <c r="B19" s="8">
        <v>108408827</v>
      </c>
      <c r="C19" s="8">
        <v>23328650</v>
      </c>
      <c r="D19" s="8">
        <f t="shared" si="0"/>
        <v>21519</v>
      </c>
    </row>
    <row r="20" spans="1:15">
      <c r="A20">
        <v>2007</v>
      </c>
      <c r="B20" s="8">
        <v>109787388</v>
      </c>
      <c r="C20" s="8">
        <v>24636341</v>
      </c>
      <c r="D20" s="8">
        <f t="shared" si="0"/>
        <v>22440</v>
      </c>
    </row>
    <row r="21" spans="1:15">
      <c r="A21">
        <v>2008</v>
      </c>
      <c r="B21" s="8">
        <v>111299015</v>
      </c>
      <c r="C21" s="8">
        <v>23304046</v>
      </c>
      <c r="D21" s="8">
        <f t="shared" si="0"/>
        <v>20938</v>
      </c>
    </row>
    <row r="22" spans="1:15">
      <c r="A22">
        <v>2009</v>
      </c>
      <c r="B22" s="8">
        <v>112852594</v>
      </c>
      <c r="C22" s="8">
        <v>30725585</v>
      </c>
      <c r="D22" s="8">
        <f t="shared" si="0"/>
        <v>27226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spans="1:15" ht="15.75">
      <c r="A23">
        <v>2010</v>
      </c>
      <c r="B23" s="8">
        <v>114255555.4490363</v>
      </c>
      <c r="C23" s="8">
        <v>27690235</v>
      </c>
      <c r="D23" s="8">
        <f t="shared" si="0"/>
        <v>24235</v>
      </c>
      <c r="E23" s="136"/>
      <c r="F23" s="136"/>
      <c r="G23" s="136"/>
      <c r="H23" s="136"/>
      <c r="I23" s="136"/>
      <c r="J23" s="137" t="s">
        <v>143</v>
      </c>
      <c r="K23" s="136"/>
      <c r="L23" s="136"/>
      <c r="M23" s="136"/>
      <c r="N23" s="136"/>
      <c r="O23" s="136"/>
    </row>
    <row r="24" spans="1:15">
      <c r="A24">
        <v>2011</v>
      </c>
      <c r="B24" s="8">
        <v>115682867.70444767</v>
      </c>
      <c r="C24" s="8">
        <v>25324245</v>
      </c>
      <c r="D24" s="8">
        <f t="shared" si="0"/>
        <v>21891</v>
      </c>
    </row>
    <row r="25" spans="1:15">
      <c r="A25">
        <v>2012</v>
      </c>
      <c r="B25" s="8">
        <v>117053749.70031475</v>
      </c>
      <c r="C25" s="8">
        <v>26206965</v>
      </c>
      <c r="D25" s="8">
        <f t="shared" si="0"/>
        <v>22388</v>
      </c>
      <c r="K25" s="114" t="s">
        <v>48</v>
      </c>
      <c r="L25" s="75"/>
      <c r="M25" s="52" t="s">
        <v>139</v>
      </c>
      <c r="N25" s="52" t="s">
        <v>140</v>
      </c>
    </row>
    <row r="26" spans="1:15">
      <c r="A26">
        <v>2013</v>
      </c>
      <c r="B26" s="8">
        <v>118395053.83857793</v>
      </c>
      <c r="C26" s="8">
        <v>26320459</v>
      </c>
      <c r="D26" s="8">
        <f t="shared" si="0"/>
        <v>22231</v>
      </c>
      <c r="K26" s="75" t="s">
        <v>137</v>
      </c>
      <c r="L26" s="75"/>
    </row>
    <row r="27" spans="1:15">
      <c r="A27">
        <v>2014</v>
      </c>
      <c r="B27" s="8">
        <v>119713203.47999948</v>
      </c>
      <c r="C27" s="8">
        <v>26462738</v>
      </c>
      <c r="D27" s="8">
        <f t="shared" si="0"/>
        <v>22105</v>
      </c>
      <c r="H27" s="60"/>
      <c r="I27" s="60" t="s">
        <v>43</v>
      </c>
      <c r="J27" s="60"/>
      <c r="K27" s="114">
        <v>41.54</v>
      </c>
      <c r="L27" s="114" t="s">
        <v>141</v>
      </c>
      <c r="M27" s="60"/>
    </row>
    <row r="28" spans="1:15">
      <c r="A28">
        <v>2015</v>
      </c>
      <c r="B28" s="8">
        <v>121005815.41577512</v>
      </c>
      <c r="C28" s="8">
        <v>23366631</v>
      </c>
      <c r="D28" s="8">
        <f t="shared" si="0"/>
        <v>19310</v>
      </c>
      <c r="H28" s="60" t="s">
        <v>31</v>
      </c>
      <c r="I28" s="60" t="s">
        <v>45</v>
      </c>
      <c r="J28" s="60" t="s">
        <v>46</v>
      </c>
      <c r="K28" s="75">
        <v>6</v>
      </c>
      <c r="L28" s="114" t="s">
        <v>138</v>
      </c>
      <c r="M28" s="60" t="s">
        <v>75</v>
      </c>
    </row>
    <row r="29" spans="1:15">
      <c r="A29">
        <v>2016</v>
      </c>
      <c r="B29" s="8">
        <v>122273473.32093555</v>
      </c>
      <c r="C29" s="8">
        <v>22858936</v>
      </c>
      <c r="D29" s="8">
        <f t="shared" si="0"/>
        <v>18694</v>
      </c>
      <c r="H29" s="60" t="s">
        <v>74</v>
      </c>
      <c r="I29" s="105">
        <f>Resumen!R33</f>
        <v>630.75737006634336</v>
      </c>
      <c r="J29" s="61">
        <v>0.01</v>
      </c>
      <c r="K29" s="115">
        <v>5</v>
      </c>
      <c r="L29" s="114" t="s">
        <v>49</v>
      </c>
      <c r="M29" s="60" t="s">
        <v>64</v>
      </c>
    </row>
    <row r="30" spans="1:15">
      <c r="A30">
        <v>2017</v>
      </c>
      <c r="B30" s="8">
        <v>123518269.71983927</v>
      </c>
      <c r="E30" s="8">
        <f t="shared" ref="E30:E56" si="1">INT($E$5*EXP($E$6*(A30-$A$11)))</f>
        <v>20153</v>
      </c>
      <c r="F30" s="43">
        <f t="shared" ref="F30:F56" si="2">$F$60*EXP(-$F$61*(A30-$A$29))</f>
        <v>20152.845973993932</v>
      </c>
      <c r="G30" s="12">
        <f t="shared" ref="G30:G56" si="3">INT(E30-F30)</f>
        <v>0</v>
      </c>
      <c r="H30" s="8">
        <f>B30*G30/100000</f>
        <v>0</v>
      </c>
      <c r="I30" s="12">
        <f t="shared" ref="I30:I56" si="4">H30*$I$29</f>
        <v>0</v>
      </c>
      <c r="J30" s="12">
        <f t="shared" ref="J30:J56" si="5">H30*$I$29*$J$29</f>
        <v>0</v>
      </c>
      <c r="K30" s="12">
        <f t="shared" ref="K30:K31" si="6">H30*$K$27*$K$29*$K$28</f>
        <v>0</v>
      </c>
      <c r="M30" s="12">
        <f>SUM(I30:K30)</f>
        <v>0</v>
      </c>
    </row>
    <row r="31" spans="1:15">
      <c r="A31">
        <v>2018</v>
      </c>
      <c r="B31" s="8">
        <v>124737788.61429209</v>
      </c>
      <c r="E31" s="8">
        <f t="shared" si="1"/>
        <v>19813</v>
      </c>
      <c r="F31" s="43">
        <f>E31</f>
        <v>19813</v>
      </c>
      <c r="G31" s="12">
        <f t="shared" si="3"/>
        <v>0</v>
      </c>
      <c r="H31" s="8">
        <f>B31*G31/100000</f>
        <v>0</v>
      </c>
      <c r="I31" s="12">
        <f t="shared" si="4"/>
        <v>0</v>
      </c>
      <c r="J31" s="12">
        <f t="shared" si="5"/>
        <v>0</v>
      </c>
      <c r="K31" s="12">
        <f t="shared" si="6"/>
        <v>0</v>
      </c>
      <c r="M31" s="12">
        <f t="shared" ref="M31:M56" si="7">SUM(I31:K31)</f>
        <v>0</v>
      </c>
    </row>
    <row r="32" spans="1:15">
      <c r="A32">
        <v>2019</v>
      </c>
      <c r="B32" s="8">
        <v>125929439.1600115</v>
      </c>
      <c r="E32" s="8">
        <f t="shared" si="1"/>
        <v>19479</v>
      </c>
      <c r="F32" s="43">
        <f t="shared" si="2"/>
        <v>19402.181686696997</v>
      </c>
      <c r="G32" s="12">
        <f t="shared" si="3"/>
        <v>76</v>
      </c>
      <c r="H32" s="8">
        <f t="shared" ref="H32:H56" si="8">B32*G32/100000</f>
        <v>95706.373761608731</v>
      </c>
      <c r="I32" s="12">
        <f t="shared" si="4"/>
        <v>60367500.61245881</v>
      </c>
      <c r="J32" s="12">
        <f t="shared" si="5"/>
        <v>603675.00612458808</v>
      </c>
      <c r="K32" s="12">
        <f t="shared" ref="K32:K56" si="9">H32*$K$27*$K$29*$K$28</f>
        <v>119269282.98171681</v>
      </c>
      <c r="M32" s="12">
        <f t="shared" si="7"/>
        <v>180240458.60030019</v>
      </c>
    </row>
    <row r="33" spans="1:13">
      <c r="A33">
        <v>2020</v>
      </c>
      <c r="B33" s="8">
        <v>127091642.26581174</v>
      </c>
      <c r="E33" s="8">
        <f t="shared" si="1"/>
        <v>19151</v>
      </c>
      <c r="F33" s="43">
        <f t="shared" si="2"/>
        <v>19037.400997684908</v>
      </c>
      <c r="G33" s="12">
        <f t="shared" si="3"/>
        <v>113</v>
      </c>
      <c r="H33" s="8">
        <f t="shared" si="8"/>
        <v>143613.55576036725</v>
      </c>
      <c r="I33" s="12">
        <f t="shared" si="4"/>
        <v>90585308.737285405</v>
      </c>
      <c r="J33" s="12">
        <f t="shared" si="5"/>
        <v>905853.08737285412</v>
      </c>
      <c r="K33" s="12">
        <f t="shared" si="9"/>
        <v>178971213.18856966</v>
      </c>
      <c r="M33" s="12">
        <f t="shared" si="7"/>
        <v>270462375.01322794</v>
      </c>
    </row>
    <row r="34" spans="1:13">
      <c r="A34">
        <v>2021</v>
      </c>
      <c r="B34" s="8">
        <v>128230519.31929573</v>
      </c>
      <c r="E34" s="8">
        <f t="shared" si="1"/>
        <v>18828</v>
      </c>
      <c r="F34" s="43">
        <f t="shared" si="2"/>
        <v>18679.478555504276</v>
      </c>
      <c r="G34" s="12">
        <f t="shared" si="3"/>
        <v>148</v>
      </c>
      <c r="H34" s="8">
        <f t="shared" si="8"/>
        <v>189781.16859255769</v>
      </c>
      <c r="I34" s="12">
        <f t="shared" si="4"/>
        <v>119705870.78955901</v>
      </c>
      <c r="J34" s="12">
        <f t="shared" si="5"/>
        <v>1197058.70789559</v>
      </c>
      <c r="K34" s="12">
        <f t="shared" si="9"/>
        <v>236505292.30004537</v>
      </c>
      <c r="M34" s="12">
        <f t="shared" si="7"/>
        <v>357408221.79749995</v>
      </c>
    </row>
    <row r="35" spans="1:13">
      <c r="A35">
        <v>2022</v>
      </c>
      <c r="B35" s="8">
        <v>129351846.12280837</v>
      </c>
      <c r="E35" s="8">
        <f t="shared" si="1"/>
        <v>18511</v>
      </c>
      <c r="F35" s="43">
        <f t="shared" si="2"/>
        <v>18328.285418160587</v>
      </c>
      <c r="G35" s="12">
        <f t="shared" si="3"/>
        <v>182</v>
      </c>
      <c r="H35" s="8">
        <f t="shared" si="8"/>
        <v>235420.35994351123</v>
      </c>
      <c r="I35" s="12">
        <f t="shared" si="4"/>
        <v>148493127.09804106</v>
      </c>
      <c r="J35" s="12">
        <f t="shared" si="5"/>
        <v>1484931.2709804105</v>
      </c>
      <c r="K35" s="12">
        <f t="shared" si="9"/>
        <v>293380852.56160367</v>
      </c>
      <c r="M35" s="12">
        <f t="shared" si="7"/>
        <v>443358910.93062514</v>
      </c>
    </row>
    <row r="36" spans="1:13">
      <c r="A36">
        <v>2023</v>
      </c>
      <c r="B36" s="8">
        <v>130451690.95603113</v>
      </c>
      <c r="E36" s="8">
        <f t="shared" si="1"/>
        <v>18198</v>
      </c>
      <c r="F36" s="43">
        <f t="shared" si="2"/>
        <v>17983.695067899567</v>
      </c>
      <c r="G36" s="12">
        <f t="shared" si="3"/>
        <v>214</v>
      </c>
      <c r="H36" s="8">
        <f t="shared" si="8"/>
        <v>279166.61864590662</v>
      </c>
      <c r="I36" s="12">
        <f t="shared" si="4"/>
        <v>176086402.18740588</v>
      </c>
      <c r="J36" s="12">
        <f t="shared" si="5"/>
        <v>1760864.021874059</v>
      </c>
      <c r="K36" s="12">
        <f t="shared" si="9"/>
        <v>347897440.15652883</v>
      </c>
      <c r="M36" s="12">
        <f t="shared" si="7"/>
        <v>525744706.36580878</v>
      </c>
    </row>
    <row r="37" spans="1:13">
      <c r="A37">
        <v>2024</v>
      </c>
      <c r="B37" s="8">
        <v>131529467.50338459</v>
      </c>
      <c r="E37" s="8">
        <f t="shared" si="1"/>
        <v>17892</v>
      </c>
      <c r="F37" s="43">
        <f t="shared" si="2"/>
        <v>17645.583365629012</v>
      </c>
      <c r="G37" s="12">
        <f t="shared" si="3"/>
        <v>246</v>
      </c>
      <c r="H37" s="8">
        <f t="shared" si="8"/>
        <v>323562.4900583261</v>
      </c>
      <c r="I37" s="12">
        <f t="shared" si="4"/>
        <v>204089425.28130713</v>
      </c>
      <c r="J37" s="12">
        <f t="shared" si="5"/>
        <v>2040894.2528130712</v>
      </c>
      <c r="K37" s="12">
        <f t="shared" si="9"/>
        <v>403223575.11068594</v>
      </c>
      <c r="M37" s="12">
        <f t="shared" si="7"/>
        <v>609353894.64480615</v>
      </c>
    </row>
    <row r="38" spans="1:13">
      <c r="A38">
        <v>2025</v>
      </c>
      <c r="B38" s="8">
        <v>132584052.76871851</v>
      </c>
      <c r="E38" s="8">
        <f t="shared" si="1"/>
        <v>17590</v>
      </c>
      <c r="F38" s="43">
        <f t="shared" si="2"/>
        <v>17313.828506197522</v>
      </c>
      <c r="G38" s="12">
        <f t="shared" si="3"/>
        <v>276</v>
      </c>
      <c r="H38" s="8">
        <f t="shared" si="8"/>
        <v>365931.98564166308</v>
      </c>
      <c r="I38" s="12">
        <f t="shared" si="4"/>
        <v>230814296.88649032</v>
      </c>
      <c r="J38" s="12">
        <f t="shared" si="5"/>
        <v>2308142.9688649033</v>
      </c>
      <c r="K38" s="12">
        <f t="shared" si="9"/>
        <v>456024440.50664055</v>
      </c>
      <c r="M38" s="12">
        <f t="shared" si="7"/>
        <v>689146880.36199582</v>
      </c>
    </row>
    <row r="39" spans="1:13">
      <c r="A39">
        <v>2026</v>
      </c>
      <c r="B39" s="8">
        <v>133614189.83441433</v>
      </c>
      <c r="E39" s="8">
        <f t="shared" si="1"/>
        <v>17294</v>
      </c>
      <c r="F39" s="43">
        <f t="shared" si="2"/>
        <v>16988.31097451405</v>
      </c>
      <c r="G39" s="12">
        <f t="shared" si="3"/>
        <v>305</v>
      </c>
      <c r="H39" s="8">
        <f t="shared" si="8"/>
        <v>407523.27899496368</v>
      </c>
      <c r="I39" s="12">
        <f t="shared" si="4"/>
        <v>257048311.69967601</v>
      </c>
      <c r="J39" s="12">
        <f t="shared" si="5"/>
        <v>2570483.11699676</v>
      </c>
      <c r="K39" s="12">
        <f t="shared" si="9"/>
        <v>507855510.28352368</v>
      </c>
      <c r="M39" s="12">
        <f t="shared" si="7"/>
        <v>767474305.10019648</v>
      </c>
    </row>
    <row r="40" spans="1:13">
      <c r="A40">
        <v>2027</v>
      </c>
      <c r="B40" s="8">
        <v>134619410.57512766</v>
      </c>
      <c r="E40" s="8">
        <f t="shared" si="1"/>
        <v>17002</v>
      </c>
      <c r="F40" s="43">
        <f t="shared" si="2"/>
        <v>16668.913502492447</v>
      </c>
      <c r="G40" s="12">
        <f t="shared" si="3"/>
        <v>333</v>
      </c>
      <c r="H40" s="8">
        <f t="shared" si="8"/>
        <v>448282.63721517508</v>
      </c>
      <c r="I40" s="12">
        <f t="shared" si="4"/>
        <v>282757577.29624856</v>
      </c>
      <c r="J40" s="12">
        <f t="shared" si="5"/>
        <v>2827575.7729624854</v>
      </c>
      <c r="K40" s="12">
        <f t="shared" si="9"/>
        <v>558649822.4975512</v>
      </c>
      <c r="M40" s="12">
        <f t="shared" si="7"/>
        <v>844234975.56676221</v>
      </c>
    </row>
    <row r="41" spans="1:13">
      <c r="A41">
        <v>2028</v>
      </c>
      <c r="B41" s="8">
        <v>135599641.27262661</v>
      </c>
      <c r="E41" s="8">
        <f t="shared" si="1"/>
        <v>16715</v>
      </c>
      <c r="F41" s="43">
        <f t="shared" si="2"/>
        <v>16355.521026805493</v>
      </c>
      <c r="G41" s="12">
        <f t="shared" si="3"/>
        <v>359</v>
      </c>
      <c r="H41" s="8">
        <f t="shared" si="8"/>
        <v>486802.71216872957</v>
      </c>
      <c r="I41" s="12">
        <f t="shared" si="4"/>
        <v>307054398.46871096</v>
      </c>
      <c r="J41" s="12">
        <f t="shared" si="5"/>
        <v>3070543.9846871095</v>
      </c>
      <c r="K41" s="12">
        <f t="shared" si="9"/>
        <v>606653539.90467072</v>
      </c>
      <c r="M41" s="12">
        <f t="shared" si="7"/>
        <v>916778482.3580687</v>
      </c>
    </row>
    <row r="42" spans="1:13">
      <c r="A42">
        <v>2029</v>
      </c>
      <c r="B42" s="8">
        <v>136554493.65607554</v>
      </c>
      <c r="E42" s="8">
        <f t="shared" si="1"/>
        <v>16434</v>
      </c>
      <c r="F42" s="43">
        <f t="shared" si="2"/>
        <v>16048.020647433183</v>
      </c>
      <c r="G42" s="12">
        <f t="shared" si="3"/>
        <v>385</v>
      </c>
      <c r="H42" s="8">
        <f t="shared" si="8"/>
        <v>525734.80057589081</v>
      </c>
      <c r="I42" s="12">
        <f t="shared" si="4"/>
        <v>331611100.16360241</v>
      </c>
      <c r="J42" s="12">
        <f t="shared" si="5"/>
        <v>3316111.0016360241</v>
      </c>
      <c r="K42" s="12">
        <f t="shared" si="9"/>
        <v>655170708.4776752</v>
      </c>
      <c r="M42" s="12">
        <f t="shared" si="7"/>
        <v>990097919.64291358</v>
      </c>
    </row>
    <row r="43" spans="1:13">
      <c r="A43">
        <v>2030</v>
      </c>
      <c r="B43" s="8">
        <v>137481335.77616751</v>
      </c>
      <c r="E43" s="8">
        <f t="shared" si="1"/>
        <v>16157</v>
      </c>
      <c r="F43" s="43">
        <f t="shared" si="2"/>
        <v>15746.301586990372</v>
      </c>
      <c r="G43" s="12">
        <f t="shared" si="3"/>
        <v>410</v>
      </c>
      <c r="H43" s="8">
        <f t="shared" si="8"/>
        <v>563673.47668228683</v>
      </c>
      <c r="I43" s="12">
        <f t="shared" si="4"/>
        <v>355541199.72827154</v>
      </c>
      <c r="J43" s="12">
        <f t="shared" si="5"/>
        <v>3555411.9972827155</v>
      </c>
      <c r="K43" s="12">
        <f t="shared" si="9"/>
        <v>702449886.6414659</v>
      </c>
      <c r="M43" s="12">
        <f t="shared" si="7"/>
        <v>1061546498.3670201</v>
      </c>
    </row>
    <row r="44" spans="1:13">
      <c r="A44">
        <v>2031</v>
      </c>
      <c r="B44" s="8">
        <v>138383142.07397586</v>
      </c>
      <c r="E44" s="8">
        <f t="shared" si="1"/>
        <v>15884</v>
      </c>
      <c r="F44" s="43">
        <f t="shared" si="2"/>
        <v>15450.255150819085</v>
      </c>
      <c r="G44" s="12">
        <f t="shared" si="3"/>
        <v>433</v>
      </c>
      <c r="H44" s="8">
        <f t="shared" si="8"/>
        <v>599199.00518031546</v>
      </c>
      <c r="I44" s="12">
        <f t="shared" si="4"/>
        <v>377949188.65390503</v>
      </c>
      <c r="J44" s="12">
        <f t="shared" si="5"/>
        <v>3779491.8865390504</v>
      </c>
      <c r="K44" s="12">
        <f t="shared" si="9"/>
        <v>746721800.25570905</v>
      </c>
      <c r="M44" s="12">
        <f t="shared" si="7"/>
        <v>1128450480.7961531</v>
      </c>
    </row>
    <row r="45" spans="1:13">
      <c r="A45">
        <v>2032</v>
      </c>
      <c r="B45" s="8">
        <v>139263092.29035321</v>
      </c>
      <c r="E45" s="8">
        <f t="shared" si="1"/>
        <v>15617</v>
      </c>
      <c r="F45" s="43">
        <f t="shared" si="2"/>
        <v>15159.774687831121</v>
      </c>
      <c r="G45" s="12">
        <f t="shared" si="3"/>
        <v>457</v>
      </c>
      <c r="H45" s="8">
        <f t="shared" si="8"/>
        <v>636432.33176691411</v>
      </c>
      <c r="I45" s="12">
        <f t="shared" si="4"/>
        <v>401434383.81048924</v>
      </c>
      <c r="J45" s="12">
        <f t="shared" si="5"/>
        <v>4014343.8381048925</v>
      </c>
      <c r="K45" s="12">
        <f t="shared" si="9"/>
        <v>793121971.8479284</v>
      </c>
      <c r="M45" s="12">
        <f t="shared" si="7"/>
        <v>1198570699.4965224</v>
      </c>
    </row>
    <row r="46" spans="1:13">
      <c r="A46">
        <v>2033</v>
      </c>
      <c r="B46" s="8">
        <v>140118934.10467148</v>
      </c>
      <c r="E46" s="8">
        <f t="shared" si="1"/>
        <v>15353</v>
      </c>
      <c r="F46" s="43">
        <f t="shared" si="2"/>
        <v>14874.755552086881</v>
      </c>
      <c r="G46" s="12">
        <f t="shared" si="3"/>
        <v>478</v>
      </c>
      <c r="H46" s="8">
        <f t="shared" si="8"/>
        <v>669768.50502032961</v>
      </c>
      <c r="I46" s="12">
        <f t="shared" si="4"/>
        <v>422461420.77988958</v>
      </c>
      <c r="J46" s="12">
        <f t="shared" si="5"/>
        <v>4224614.2077988964</v>
      </c>
      <c r="K46" s="12">
        <f t="shared" si="9"/>
        <v>834665510.95633471</v>
      </c>
      <c r="M46" s="12">
        <f t="shared" si="7"/>
        <v>1261351545.9440231</v>
      </c>
    </row>
    <row r="47" spans="1:13">
      <c r="A47">
        <v>2034</v>
      </c>
      <c r="B47" s="8">
        <v>140950311.77190983</v>
      </c>
      <c r="E47" s="8">
        <f t="shared" si="1"/>
        <v>15095</v>
      </c>
      <c r="F47" s="43">
        <f t="shared" si="2"/>
        <v>14595.095065096548</v>
      </c>
      <c r="G47" s="12">
        <f t="shared" si="3"/>
        <v>499</v>
      </c>
      <c r="H47" s="8">
        <f t="shared" si="8"/>
        <v>703342.05574183015</v>
      </c>
      <c r="I47" s="12">
        <f t="shared" si="4"/>
        <v>443638185.33677226</v>
      </c>
      <c r="J47" s="12">
        <f t="shared" si="5"/>
        <v>4436381.8533677226</v>
      </c>
      <c r="K47" s="12">
        <f t="shared" si="9"/>
        <v>876504869.86546862</v>
      </c>
      <c r="M47" s="12">
        <f t="shared" si="7"/>
        <v>1324579437.0556087</v>
      </c>
    </row>
    <row r="48" spans="1:13">
      <c r="A48">
        <v>2035</v>
      </c>
      <c r="B48" s="8">
        <v>141756919.61498782</v>
      </c>
      <c r="E48" s="8">
        <f t="shared" si="1"/>
        <v>14840</v>
      </c>
      <c r="F48" s="43">
        <f t="shared" si="2"/>
        <v>14320.692478830013</v>
      </c>
      <c r="G48" s="12">
        <f t="shared" si="3"/>
        <v>519</v>
      </c>
      <c r="H48" s="8">
        <f t="shared" si="8"/>
        <v>735718.41280178679</v>
      </c>
      <c r="I48" s="12">
        <f t="shared" si="4"/>
        <v>464059811.16823941</v>
      </c>
      <c r="J48" s="12">
        <f t="shared" si="5"/>
        <v>4640598.1116823945</v>
      </c>
      <c r="K48" s="12">
        <f t="shared" si="9"/>
        <v>916852286.03358674</v>
      </c>
      <c r="M48" s="12">
        <f t="shared" si="7"/>
        <v>1385552695.3135085</v>
      </c>
    </row>
    <row r="49" spans="1:13">
      <c r="A49">
        <v>2036</v>
      </c>
      <c r="B49" s="8">
        <v>142538744.34624964</v>
      </c>
      <c r="E49" s="8">
        <f t="shared" si="1"/>
        <v>14590</v>
      </c>
      <c r="F49" s="43">
        <f t="shared" si="2"/>
        <v>14051.448939422298</v>
      </c>
      <c r="G49" s="12">
        <f t="shared" si="3"/>
        <v>538</v>
      </c>
      <c r="H49" s="8">
        <f t="shared" si="8"/>
        <v>766858.44458282308</v>
      </c>
      <c r="I49" s="12">
        <f t="shared" si="4"/>
        <v>483701615.71822822</v>
      </c>
      <c r="J49" s="12">
        <f t="shared" si="5"/>
        <v>4837016.1571822828</v>
      </c>
      <c r="K49" s="12">
        <f t="shared" si="9"/>
        <v>955658993.63911414</v>
      </c>
      <c r="M49" s="12">
        <f t="shared" si="7"/>
        <v>1444197625.5145247</v>
      </c>
    </row>
    <row r="50" spans="1:13">
      <c r="A50">
        <v>2037</v>
      </c>
      <c r="B50" s="8">
        <v>143295718.95146972</v>
      </c>
      <c r="E50" s="8">
        <f t="shared" si="1"/>
        <v>14344</v>
      </c>
      <c r="F50" s="43">
        <f t="shared" si="2"/>
        <v>13787.26745156132</v>
      </c>
      <c r="G50" s="12">
        <f t="shared" si="3"/>
        <v>556</v>
      </c>
      <c r="H50" s="8">
        <f t="shared" si="8"/>
        <v>796724.19737017166</v>
      </c>
      <c r="I50" s="12">
        <f t="shared" si="4"/>
        <v>502539659.40142775</v>
      </c>
      <c r="J50" s="12">
        <f t="shared" si="5"/>
        <v>5025396.5940142777</v>
      </c>
      <c r="K50" s="12">
        <f t="shared" si="9"/>
        <v>992877694.76270795</v>
      </c>
      <c r="M50" s="12">
        <f t="shared" si="7"/>
        <v>1500442750.7581501</v>
      </c>
    </row>
    <row r="51" spans="1:13">
      <c r="A51">
        <v>2038</v>
      </c>
      <c r="B51" s="8">
        <v>144027641.40966272</v>
      </c>
      <c r="E51" s="8">
        <f t="shared" si="1"/>
        <v>14102</v>
      </c>
      <c r="F51" s="43">
        <f t="shared" si="2"/>
        <v>13528.052843545211</v>
      </c>
      <c r="G51" s="12">
        <f t="shared" si="3"/>
        <v>573</v>
      </c>
      <c r="H51" s="8">
        <f t="shared" si="8"/>
        <v>825278.38527736743</v>
      </c>
      <c r="I51" s="12">
        <f t="shared" si="4"/>
        <v>520550423.87015074</v>
      </c>
      <c r="J51" s="12">
        <f t="shared" si="5"/>
        <v>5205504.2387015074</v>
      </c>
      <c r="K51" s="12">
        <f t="shared" si="9"/>
        <v>1028461923.7326553</v>
      </c>
      <c r="M51" s="12">
        <f t="shared" si="7"/>
        <v>1554217851.8415074</v>
      </c>
    </row>
    <row r="52" spans="1:13">
      <c r="A52">
        <v>2039</v>
      </c>
      <c r="B52" s="8">
        <v>144734345.63020808</v>
      </c>
      <c r="E52" s="8">
        <f t="shared" si="1"/>
        <v>13864</v>
      </c>
      <c r="F52" s="43">
        <f t="shared" si="2"/>
        <v>13273.711732996604</v>
      </c>
      <c r="G52" s="12">
        <f t="shared" si="3"/>
        <v>590</v>
      </c>
      <c r="H52" s="8">
        <f t="shared" si="8"/>
        <v>853932.6392182277</v>
      </c>
      <c r="I52" s="12">
        <f t="shared" si="4"/>
        <v>538624305.72710097</v>
      </c>
      <c r="J52" s="12">
        <f t="shared" si="5"/>
        <v>5386243.0572710102</v>
      </c>
      <c r="K52" s="12">
        <f t="shared" si="9"/>
        <v>1064170854.9937553</v>
      </c>
      <c r="M52" s="12">
        <f t="shared" si="7"/>
        <v>1608181403.7781272</v>
      </c>
    </row>
    <row r="53" spans="1:13">
      <c r="A53">
        <v>2040</v>
      </c>
      <c r="B53" s="8">
        <v>145415858.7078613</v>
      </c>
      <c r="E53" s="8">
        <f t="shared" si="1"/>
        <v>13631</v>
      </c>
      <c r="F53" s="43">
        <f t="shared" si="2"/>
        <v>13024.152493221511</v>
      </c>
      <c r="G53" s="12">
        <f t="shared" si="3"/>
        <v>606</v>
      </c>
      <c r="H53" s="8">
        <f t="shared" si="8"/>
        <v>881220.10376963939</v>
      </c>
      <c r="I53" s="12">
        <f t="shared" si="4"/>
        <v>555836075.10332787</v>
      </c>
      <c r="J53" s="12">
        <f t="shared" si="5"/>
        <v>5558360.7510332791</v>
      </c>
      <c r="K53" s="12">
        <f t="shared" si="9"/>
        <v>1098176493.3177247</v>
      </c>
      <c r="M53" s="12">
        <f t="shared" si="7"/>
        <v>1659570929.1720858</v>
      </c>
    </row>
    <row r="54" spans="1:13">
      <c r="A54">
        <v>2041</v>
      </c>
      <c r="B54" s="8">
        <v>146072453.29511857</v>
      </c>
      <c r="E54" s="8">
        <f t="shared" si="1"/>
        <v>13401</v>
      </c>
      <c r="F54" s="43">
        <f t="shared" si="2"/>
        <v>12779.285220200696</v>
      </c>
      <c r="G54" s="12">
        <f t="shared" si="3"/>
        <v>621</v>
      </c>
      <c r="H54" s="8">
        <f t="shared" si="8"/>
        <v>907109.93496268627</v>
      </c>
      <c r="I54" s="12">
        <f t="shared" si="4"/>
        <v>572166276.93811572</v>
      </c>
      <c r="J54" s="12">
        <f t="shared" si="5"/>
        <v>5721662.7693811571</v>
      </c>
      <c r="K54" s="12">
        <f t="shared" si="9"/>
        <v>1130440400.9504995</v>
      </c>
      <c r="M54" s="12">
        <f t="shared" si="7"/>
        <v>1708328340.6579964</v>
      </c>
    </row>
    <row r="55" spans="1:13">
      <c r="A55">
        <v>2042</v>
      </c>
      <c r="B55" s="8">
        <v>146704226.83203495</v>
      </c>
      <c r="E55" s="8">
        <f t="shared" si="1"/>
        <v>13175</v>
      </c>
      <c r="F55" s="43">
        <f t="shared" si="2"/>
        <v>12539.021700201652</v>
      </c>
      <c r="G55" s="12">
        <f t="shared" si="3"/>
        <v>635</v>
      </c>
      <c r="H55" s="8">
        <f t="shared" si="8"/>
        <v>931571.84038342198</v>
      </c>
      <c r="I55" s="12">
        <f t="shared" si="4"/>
        <v>587595804.06811059</v>
      </c>
      <c r="J55" s="12">
        <f t="shared" si="5"/>
        <v>5875958.040681106</v>
      </c>
      <c r="K55" s="12">
        <f t="shared" si="9"/>
        <v>1160924827.4858203</v>
      </c>
      <c r="M55" s="12">
        <f t="shared" si="7"/>
        <v>1754396589.5946121</v>
      </c>
    </row>
    <row r="56" spans="1:13">
      <c r="A56">
        <v>2043</v>
      </c>
      <c r="B56" s="8">
        <v>147311185.63560259</v>
      </c>
      <c r="E56" s="8">
        <f t="shared" si="1"/>
        <v>12953</v>
      </c>
      <c r="F56" s="43">
        <f t="shared" si="2"/>
        <v>12303.275377999484</v>
      </c>
      <c r="G56" s="59">
        <f t="shared" si="3"/>
        <v>649</v>
      </c>
      <c r="H56" s="8">
        <f t="shared" si="8"/>
        <v>956049.59477506089</v>
      </c>
      <c r="I56" s="12">
        <f t="shared" si="4"/>
        <v>603035328.05331063</v>
      </c>
      <c r="J56" s="12">
        <f t="shared" si="5"/>
        <v>6030353.2805331061</v>
      </c>
      <c r="K56" s="12">
        <f t="shared" si="9"/>
        <v>1191429005.0086808</v>
      </c>
      <c r="M56" s="12">
        <f t="shared" si="7"/>
        <v>1800494686.3425245</v>
      </c>
    </row>
    <row r="58" spans="1:13">
      <c r="F58" s="52" t="s">
        <v>73</v>
      </c>
      <c r="H58" s="12">
        <f>SUM(H30:H57)</f>
        <v>14328404.908891561</v>
      </c>
      <c r="M58" s="12">
        <f>SUM(M30:M57)</f>
        <v>26984182665.014572</v>
      </c>
    </row>
    <row r="59" spans="1:13">
      <c r="E59" s="53" t="s">
        <v>52</v>
      </c>
      <c r="F59" s="52">
        <v>0.05</v>
      </c>
      <c r="G59" s="45">
        <f>E56*F59</f>
        <v>647.65000000000009</v>
      </c>
    </row>
    <row r="60" spans="1:13">
      <c r="E60" s="53" t="s">
        <v>50</v>
      </c>
      <c r="F60" s="25">
        <v>20539</v>
      </c>
    </row>
    <row r="61" spans="1:13">
      <c r="E61" s="53" t="s">
        <v>51</v>
      </c>
      <c r="F61" s="52">
        <v>1.898E-2</v>
      </c>
    </row>
  </sheetData>
  <hyperlinks>
    <hyperlink ref="B3" r:id="rId1"/>
  </hyperlinks>
  <pageMargins left="0.7" right="0.7" top="0.75" bottom="0.75" header="0.3" footer="0.3"/>
  <pageSetup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B1" workbookViewId="0">
      <selection activeCell="R13" sqref="R13"/>
    </sheetView>
  </sheetViews>
  <sheetFormatPr baseColWidth="10" defaultRowHeight="15"/>
  <cols>
    <col min="2" max="6" width="15.7109375" customWidth="1"/>
    <col min="7" max="7" width="6.28515625" customWidth="1"/>
    <col min="8" max="11" width="15.7109375" customWidth="1"/>
    <col min="12" max="12" width="14.140625" bestFit="1" customWidth="1"/>
    <col min="14" max="14" width="17.5703125" customWidth="1"/>
    <col min="15" max="15" width="18" customWidth="1"/>
    <col min="17" max="17" width="22.5703125" customWidth="1"/>
    <col min="18" max="18" width="18.85546875" customWidth="1"/>
  </cols>
  <sheetData>
    <row r="1" spans="1:18">
      <c r="A1" t="s">
        <v>78</v>
      </c>
    </row>
    <row r="2" spans="1:18">
      <c r="A2" s="60"/>
      <c r="B2" s="46"/>
      <c r="C2" s="64"/>
      <c r="D2" s="51" t="s">
        <v>105</v>
      </c>
      <c r="E2" s="64"/>
      <c r="F2" s="68" t="s">
        <v>61</v>
      </c>
    </row>
    <row r="3" spans="1:18">
      <c r="A3" s="51" t="s">
        <v>76</v>
      </c>
      <c r="B3" s="51" t="s">
        <v>65</v>
      </c>
      <c r="C3" s="99" t="s">
        <v>37</v>
      </c>
      <c r="D3" s="99" t="s">
        <v>79</v>
      </c>
      <c r="E3" s="99" t="s">
        <v>80</v>
      </c>
      <c r="F3" s="67" t="s">
        <v>64</v>
      </c>
      <c r="G3" s="51"/>
      <c r="H3" s="68" t="s">
        <v>93</v>
      </c>
      <c r="I3" s="68" t="s">
        <v>93</v>
      </c>
      <c r="J3" s="68" t="s">
        <v>93</v>
      </c>
      <c r="K3" s="46"/>
      <c r="L3" s="68" t="s">
        <v>81</v>
      </c>
    </row>
    <row r="4" spans="1:18" ht="15.75" thickBot="1">
      <c r="A4" s="9">
        <v>2016</v>
      </c>
      <c r="G4" s="51" t="s">
        <v>76</v>
      </c>
      <c r="H4" s="67" t="s">
        <v>37</v>
      </c>
      <c r="I4" s="67" t="s">
        <v>79</v>
      </c>
      <c r="J4" s="67" t="s">
        <v>80</v>
      </c>
      <c r="K4" s="51" t="s">
        <v>94</v>
      </c>
      <c r="L4" s="68" t="s">
        <v>95</v>
      </c>
    </row>
    <row r="5" spans="1:18">
      <c r="A5" s="64">
        <v>2017</v>
      </c>
      <c r="B5" s="8">
        <v>123518269.71983927</v>
      </c>
      <c r="C5" s="8">
        <f>EDAS!K48</f>
        <v>0</v>
      </c>
      <c r="D5" s="8">
        <f>Conjuntivitis!I27</f>
        <v>0</v>
      </c>
      <c r="E5" s="8">
        <f>IRAS!H30</f>
        <v>0</v>
      </c>
      <c r="F5" s="8">
        <f>C5+D5+E5</f>
        <v>0</v>
      </c>
      <c r="G5" s="64">
        <v>2017</v>
      </c>
      <c r="H5" s="8">
        <f>EDAS!P48</f>
        <v>0</v>
      </c>
      <c r="I5" s="8">
        <f>Conjuntivitis!N27</f>
        <v>0</v>
      </c>
      <c r="J5" s="8">
        <f>IRAS!M30</f>
        <v>0</v>
      </c>
      <c r="K5" s="12">
        <f t="shared" ref="K5:K31" si="0">SUM(H5:J5)</f>
        <v>0</v>
      </c>
      <c r="L5" s="8">
        <f t="shared" ref="L5:L31" si="1">K5/(1+$O$11)^(A5-$A$4)</f>
        <v>0</v>
      </c>
      <c r="N5" s="116" t="s">
        <v>142</v>
      </c>
      <c r="O5" s="117"/>
      <c r="P5" s="117"/>
      <c r="Q5" s="117"/>
      <c r="R5" s="118"/>
    </row>
    <row r="6" spans="1:18">
      <c r="A6" s="64">
        <v>2018</v>
      </c>
      <c r="B6" s="8">
        <v>124737788.61429209</v>
      </c>
      <c r="C6" s="8">
        <f>EDAS!K49</f>
        <v>0</v>
      </c>
      <c r="D6" s="8">
        <f>Conjuntivitis!I28</f>
        <v>0</v>
      </c>
      <c r="E6" s="8">
        <f>IRAS!H31</f>
        <v>0</v>
      </c>
      <c r="F6" s="8">
        <f>C6+D6+E6</f>
        <v>0</v>
      </c>
      <c r="G6" s="64">
        <v>2018</v>
      </c>
      <c r="H6" s="8">
        <f>EDAS!P49</f>
        <v>0</v>
      </c>
      <c r="I6" s="8">
        <f>Conjuntivitis!N28</f>
        <v>0</v>
      </c>
      <c r="J6" s="8">
        <f>IRAS!M31</f>
        <v>0</v>
      </c>
      <c r="K6" s="12">
        <f t="shared" si="0"/>
        <v>0</v>
      </c>
      <c r="L6" s="8">
        <f t="shared" si="1"/>
        <v>0</v>
      </c>
      <c r="N6" s="119" t="s">
        <v>52</v>
      </c>
      <c r="O6" s="120"/>
      <c r="P6" s="120"/>
      <c r="Q6" s="121" t="s">
        <v>59</v>
      </c>
      <c r="R6" s="122" t="s">
        <v>104</v>
      </c>
    </row>
    <row r="7" spans="1:18">
      <c r="A7" s="64">
        <v>2019</v>
      </c>
      <c r="B7" s="8">
        <v>125929439.1600115</v>
      </c>
      <c r="C7" s="8">
        <f>EDAS!K50</f>
        <v>158255</v>
      </c>
      <c r="D7" s="8">
        <f>Conjuntivitis!I29</f>
        <v>4733</v>
      </c>
      <c r="E7" s="8">
        <f>IRAS!H32</f>
        <v>95706.373761608731</v>
      </c>
      <c r="F7" s="8">
        <f t="shared" ref="F7:F31" si="2">C7+D7+E7</f>
        <v>258694.37376160873</v>
      </c>
      <c r="G7" s="64">
        <v>2019</v>
      </c>
      <c r="H7" s="8">
        <f>EDAS!P50</f>
        <v>315127541.25570977</v>
      </c>
      <c r="I7" s="8">
        <f>Conjuntivitis!N29</f>
        <v>7458261.5664349385</v>
      </c>
      <c r="J7" s="8">
        <f>IRAS!M32</f>
        <v>180240458.60030019</v>
      </c>
      <c r="K7" s="12">
        <f t="shared" si="0"/>
        <v>502826261.42244488</v>
      </c>
      <c r="L7" s="8">
        <f t="shared" si="1"/>
        <v>377780812.48868877</v>
      </c>
      <c r="N7" s="123" t="s">
        <v>37</v>
      </c>
      <c r="O7" s="124">
        <v>7.4999999999999997E-2</v>
      </c>
      <c r="P7" s="124"/>
      <c r="Q7" s="125">
        <f>C33</f>
        <v>5628861</v>
      </c>
      <c r="R7" s="126">
        <f>H33</f>
        <v>11208550295.410294</v>
      </c>
    </row>
    <row r="8" spans="1:18">
      <c r="A8" s="64">
        <v>2020</v>
      </c>
      <c r="B8" s="8">
        <v>127091642.26581174</v>
      </c>
      <c r="C8" s="8">
        <f>EDAS!K51</f>
        <v>166210</v>
      </c>
      <c r="D8" s="8">
        <f>Conjuntivitis!I30</f>
        <v>9555</v>
      </c>
      <c r="E8" s="8">
        <f>IRAS!H33</f>
        <v>143613.55576036725</v>
      </c>
      <c r="F8" s="8">
        <f t="shared" si="2"/>
        <v>319378.55576036725</v>
      </c>
      <c r="G8" s="64">
        <v>2020</v>
      </c>
      <c r="H8" s="8">
        <f>EDAS!P51</f>
        <v>330968049.23769563</v>
      </c>
      <c r="I8" s="8">
        <f>Conjuntivitis!N30</f>
        <v>15056769.335999543</v>
      </c>
      <c r="J8" s="8">
        <f>IRAS!M33</f>
        <v>270462375.01322794</v>
      </c>
      <c r="K8" s="12">
        <f t="shared" si="0"/>
        <v>616487193.58692312</v>
      </c>
      <c r="L8" s="8">
        <f t="shared" si="1"/>
        <v>421069048.28011948</v>
      </c>
      <c r="N8" s="123" t="s">
        <v>79</v>
      </c>
      <c r="O8" s="124">
        <v>7.4999999999999997E-2</v>
      </c>
      <c r="P8" s="124"/>
      <c r="Q8" s="125">
        <f>D33</f>
        <v>1731951</v>
      </c>
      <c r="R8" s="126">
        <f>I33</f>
        <v>2729208446.7036881</v>
      </c>
    </row>
    <row r="9" spans="1:18">
      <c r="A9" s="64">
        <v>2021</v>
      </c>
      <c r="B9" s="8">
        <v>128230519.31929573</v>
      </c>
      <c r="C9" s="8">
        <f>EDAS!K52</f>
        <v>173829</v>
      </c>
      <c r="D9" s="8">
        <f>Conjuntivitis!I31</f>
        <v>14461</v>
      </c>
      <c r="E9" s="8">
        <f>IRAS!H34</f>
        <v>189781.16859255769</v>
      </c>
      <c r="F9" s="8">
        <f t="shared" si="2"/>
        <v>378071.16859255766</v>
      </c>
      <c r="G9" s="64">
        <v>2021</v>
      </c>
      <c r="H9" s="8">
        <f>EDAS!P52</f>
        <v>346139492.39479816</v>
      </c>
      <c r="I9" s="8">
        <f>Conjuntivitis!N31</f>
        <v>22787644.308517989</v>
      </c>
      <c r="J9" s="8">
        <f>IRAS!M34</f>
        <v>357408221.79749995</v>
      </c>
      <c r="K9" s="12">
        <f t="shared" si="0"/>
        <v>726335358.50081611</v>
      </c>
      <c r="L9" s="8">
        <f t="shared" si="1"/>
        <v>450997111.78497237</v>
      </c>
      <c r="N9" s="123" t="s">
        <v>80</v>
      </c>
      <c r="O9" s="124">
        <v>0.05</v>
      </c>
      <c r="P9" s="124"/>
      <c r="Q9" s="125">
        <f>E33</f>
        <v>14328404.908891561</v>
      </c>
      <c r="R9" s="126">
        <f>J33</f>
        <v>26984182665.014572</v>
      </c>
    </row>
    <row r="10" spans="1:18">
      <c r="A10" s="64">
        <v>2022</v>
      </c>
      <c r="B10" s="8">
        <v>129351846.12280837</v>
      </c>
      <c r="C10" s="8">
        <f>EDAS!K53</f>
        <v>181120</v>
      </c>
      <c r="D10" s="8">
        <f>Conjuntivitis!I32</f>
        <v>19449</v>
      </c>
      <c r="E10" s="8">
        <f>IRAS!H35</f>
        <v>235420.35994351123</v>
      </c>
      <c r="F10" s="8">
        <f t="shared" si="2"/>
        <v>435989.3599435112</v>
      </c>
      <c r="G10" s="64">
        <v>2022</v>
      </c>
      <c r="H10" s="8">
        <f>EDAS!P53</f>
        <v>360657800.8418954</v>
      </c>
      <c r="I10" s="8">
        <f>Conjuntivitis!N32</f>
        <v>30647734.883919947</v>
      </c>
      <c r="J10" s="8">
        <f>IRAS!M35</f>
        <v>443358910.93062514</v>
      </c>
      <c r="K10" s="12">
        <f t="shared" si="0"/>
        <v>834664446.6564405</v>
      </c>
      <c r="L10" s="8">
        <f t="shared" si="1"/>
        <v>471146320.48032224</v>
      </c>
      <c r="N10" s="123"/>
      <c r="O10" s="124"/>
      <c r="P10" s="120" t="s">
        <v>64</v>
      </c>
      <c r="Q10" s="127"/>
      <c r="R10" s="128">
        <f>SUM(R7:R9)</f>
        <v>40921941407.128555</v>
      </c>
    </row>
    <row r="11" spans="1:18">
      <c r="A11" s="64">
        <v>2023</v>
      </c>
      <c r="B11" s="8">
        <v>130451690.95603113</v>
      </c>
      <c r="C11" s="8">
        <f>EDAS!K54</f>
        <v>188095</v>
      </c>
      <c r="D11" s="8">
        <f>Conjuntivitis!I33</f>
        <v>24519</v>
      </c>
      <c r="E11" s="8">
        <f>IRAS!H36</f>
        <v>279166.61864590662</v>
      </c>
      <c r="F11" s="8">
        <f t="shared" si="2"/>
        <v>491780.61864590662</v>
      </c>
      <c r="G11" s="64">
        <v>2023</v>
      </c>
      <c r="H11" s="8">
        <f>EDAS!P54</f>
        <v>374546869.75130475</v>
      </c>
      <c r="I11" s="8">
        <f>Conjuntivitis!N33</f>
        <v>38637041.062205419</v>
      </c>
      <c r="J11" s="8">
        <f>IRAS!M36</f>
        <v>525744706.36580878</v>
      </c>
      <c r="K11" s="12">
        <f t="shared" si="0"/>
        <v>938928617.1793189</v>
      </c>
      <c r="L11" s="8">
        <f t="shared" si="1"/>
        <v>481818842.34469861</v>
      </c>
      <c r="N11" s="129" t="s">
        <v>82</v>
      </c>
      <c r="O11" s="130">
        <v>0.1</v>
      </c>
      <c r="P11" s="127"/>
      <c r="Q11" s="127"/>
      <c r="R11" s="131"/>
    </row>
    <row r="12" spans="1:18">
      <c r="A12" s="64">
        <v>2024</v>
      </c>
      <c r="B12" s="8">
        <v>131529467.50338459</v>
      </c>
      <c r="C12" s="8">
        <f>EDAS!K55</f>
        <v>194751</v>
      </c>
      <c r="D12" s="8">
        <f>Conjuntivitis!I34</f>
        <v>29666</v>
      </c>
      <c r="E12" s="8">
        <f>IRAS!H37</f>
        <v>323562.4900583261</v>
      </c>
      <c r="F12" s="8">
        <f t="shared" si="2"/>
        <v>547979.49005832616</v>
      </c>
      <c r="G12" s="64">
        <v>2024</v>
      </c>
      <c r="H12" s="8">
        <f>EDAS!P55</f>
        <v>387800725.32994688</v>
      </c>
      <c r="I12" s="8">
        <f>Conjuntivitis!N34</f>
        <v>46747683.843198575</v>
      </c>
      <c r="J12" s="8">
        <f>IRAS!M37</f>
        <v>609353894.64480615</v>
      </c>
      <c r="K12" s="12">
        <f t="shared" si="0"/>
        <v>1043902303.8179517</v>
      </c>
      <c r="L12" s="8">
        <f t="shared" si="1"/>
        <v>486988128.94901758</v>
      </c>
      <c r="N12" s="123" t="s">
        <v>84</v>
      </c>
      <c r="O12" s="124">
        <v>25</v>
      </c>
      <c r="P12" s="124" t="s">
        <v>83</v>
      </c>
      <c r="Q12" s="127"/>
      <c r="R12" s="132"/>
    </row>
    <row r="13" spans="1:18">
      <c r="A13" s="64">
        <v>2025</v>
      </c>
      <c r="B13" s="8">
        <v>132584052.76871851</v>
      </c>
      <c r="C13" s="8">
        <f>EDAS!K56</f>
        <v>201091</v>
      </c>
      <c r="D13" s="8">
        <f>Conjuntivitis!I35</f>
        <v>34887</v>
      </c>
      <c r="E13" s="8">
        <f>IRAS!H38</f>
        <v>365931.98564166308</v>
      </c>
      <c r="F13" s="8">
        <f t="shared" si="2"/>
        <v>601909.98564166308</v>
      </c>
      <c r="G13" s="64">
        <v>2025</v>
      </c>
      <c r="H13" s="8">
        <f>EDAS!P56</f>
        <v>400425341.37090099</v>
      </c>
      <c r="I13" s="8">
        <f>Conjuntivitis!N35</f>
        <v>54974935.826793939</v>
      </c>
      <c r="J13" s="8">
        <f>IRAS!M38</f>
        <v>689146880.36199582</v>
      </c>
      <c r="K13" s="12">
        <f t="shared" si="0"/>
        <v>1144547157.5596907</v>
      </c>
      <c r="L13" s="8">
        <f t="shared" si="1"/>
        <v>485399723.63606179</v>
      </c>
      <c r="N13" s="123"/>
      <c r="O13" s="124"/>
      <c r="P13" s="120" t="s">
        <v>81</v>
      </c>
      <c r="Q13" s="127"/>
      <c r="R13" s="128">
        <f>L33</f>
        <v>9296007705.4739475</v>
      </c>
    </row>
    <row r="14" spans="1:18" ht="15.75" thickBot="1">
      <c r="A14" s="64">
        <v>2026</v>
      </c>
      <c r="B14" s="8">
        <v>133614189.83441433</v>
      </c>
      <c r="C14" s="8">
        <f>EDAS!K57</f>
        <v>207117</v>
      </c>
      <c r="D14" s="8">
        <f>Conjuntivitis!I36</f>
        <v>40181</v>
      </c>
      <c r="E14" s="8">
        <f>IRAS!H39</f>
        <v>407523.27899496368</v>
      </c>
      <c r="F14" s="8">
        <f t="shared" si="2"/>
        <v>654821.27899496374</v>
      </c>
      <c r="G14" s="64">
        <v>2026</v>
      </c>
      <c r="H14" s="8">
        <f>EDAS!P57</f>
        <v>412424700.40288675</v>
      </c>
      <c r="I14" s="8">
        <f>Conjuntivitis!N36</f>
        <v>63317221.212956324</v>
      </c>
      <c r="J14" s="8">
        <f>IRAS!M39</f>
        <v>767474305.10019648</v>
      </c>
      <c r="K14" s="12">
        <f t="shared" si="0"/>
        <v>1243216226.7160397</v>
      </c>
      <c r="L14" s="8">
        <f t="shared" si="1"/>
        <v>479313673.52027208</v>
      </c>
      <c r="N14" s="133"/>
      <c r="O14" s="134"/>
      <c r="P14" s="134"/>
      <c r="Q14" s="134"/>
      <c r="R14" s="135"/>
    </row>
    <row r="15" spans="1:18">
      <c r="A15" s="64">
        <v>2027</v>
      </c>
      <c r="B15" s="8">
        <v>134619410.57512766</v>
      </c>
      <c r="C15" s="8">
        <f>EDAS!K58</f>
        <v>212830</v>
      </c>
      <c r="D15" s="8">
        <f>Conjuntivitis!I37</f>
        <v>45544</v>
      </c>
      <c r="E15" s="8">
        <f>IRAS!H40</f>
        <v>448282.63721517508</v>
      </c>
      <c r="F15" s="8">
        <f t="shared" si="2"/>
        <v>706656.63721517508</v>
      </c>
      <c r="G15" s="64">
        <v>2027</v>
      </c>
      <c r="H15" s="8">
        <f>EDAS!P58</f>
        <v>423800793.69026387</v>
      </c>
      <c r="I15" s="8">
        <f>Conjuntivitis!N37</f>
        <v>71768236.801545069</v>
      </c>
      <c r="J15" s="8">
        <f>IRAS!M40</f>
        <v>844234975.56676221</v>
      </c>
      <c r="K15" s="12">
        <f t="shared" si="0"/>
        <v>1339804006.0585711</v>
      </c>
      <c r="L15" s="8">
        <f t="shared" si="1"/>
        <v>469593130.62425941</v>
      </c>
    </row>
    <row r="16" spans="1:18" ht="15.75" thickBot="1">
      <c r="A16" s="64">
        <v>2028</v>
      </c>
      <c r="B16" s="8">
        <v>135599641.27262661</v>
      </c>
      <c r="C16" s="8">
        <f>EDAS!K59</f>
        <v>218235</v>
      </c>
      <c r="D16" s="8">
        <f>Conjuntivitis!I38</f>
        <v>50973</v>
      </c>
      <c r="E16" s="8">
        <f>IRAS!H41</f>
        <v>486802.71216872957</v>
      </c>
      <c r="F16" s="8">
        <f t="shared" si="2"/>
        <v>756010.71216872963</v>
      </c>
      <c r="G16" s="64">
        <v>2028</v>
      </c>
      <c r="H16" s="8">
        <f>EDAS!P59</f>
        <v>434563577.55483127</v>
      </c>
      <c r="I16" s="8">
        <f>Conjuntivitis!N38</f>
        <v>80323255.192454696</v>
      </c>
      <c r="J16" s="8">
        <f>IRAS!M41</f>
        <v>916778482.3580687</v>
      </c>
      <c r="K16" s="12">
        <f t="shared" si="0"/>
        <v>1431665315.1053548</v>
      </c>
      <c r="L16" s="8">
        <f t="shared" si="1"/>
        <v>456172690.03957444</v>
      </c>
    </row>
    <row r="17" spans="1:21" ht="18.75" customHeight="1" thickBot="1">
      <c r="A17" s="64">
        <v>2029</v>
      </c>
      <c r="B17" s="8">
        <v>136554493.65607554</v>
      </c>
      <c r="C17" s="8">
        <f>EDAS!K60</f>
        <v>223335</v>
      </c>
      <c r="D17" s="8">
        <f>Conjuntivitis!I39</f>
        <v>56465</v>
      </c>
      <c r="E17" s="8">
        <f>IRAS!H42</f>
        <v>525734.80057589081</v>
      </c>
      <c r="F17" s="8">
        <f t="shared" si="2"/>
        <v>805534.80057589081</v>
      </c>
      <c r="G17" s="64">
        <v>2029</v>
      </c>
      <c r="H17" s="8">
        <f>EDAS!P60</f>
        <v>444719025.7896682</v>
      </c>
      <c r="I17" s="8">
        <f>Conjuntivitis!N39</f>
        <v>88977548.985579714</v>
      </c>
      <c r="J17" s="8">
        <f>IRAS!M42</f>
        <v>990097919.64291358</v>
      </c>
      <c r="K17" s="12">
        <f t="shared" si="0"/>
        <v>1523794494.4181614</v>
      </c>
      <c r="L17" s="8">
        <f t="shared" si="1"/>
        <v>441388987.07181644</v>
      </c>
      <c r="N17" s="138" t="s">
        <v>97</v>
      </c>
      <c r="O17" s="87" t="s">
        <v>110</v>
      </c>
      <c r="P17" s="87" t="s">
        <v>112</v>
      </c>
      <c r="Q17" s="141" t="s">
        <v>98</v>
      </c>
    </row>
    <row r="18" spans="1:21" ht="15.75" thickBot="1">
      <c r="A18" s="64">
        <v>2030</v>
      </c>
      <c r="B18" s="8">
        <v>137481335.77616751</v>
      </c>
      <c r="C18" s="8">
        <f>EDAS!K61</f>
        <v>228135</v>
      </c>
      <c r="D18" s="8">
        <f>Conjuntivitis!I40</f>
        <v>62017</v>
      </c>
      <c r="E18" s="8">
        <f>IRAS!H43</f>
        <v>563673.47668228683</v>
      </c>
      <c r="F18" s="8">
        <f t="shared" si="2"/>
        <v>853825.47668228683</v>
      </c>
      <c r="G18" s="64">
        <v>2030</v>
      </c>
      <c r="H18" s="8">
        <f>EDAS!P61</f>
        <v>454277094.7165736</v>
      </c>
      <c r="I18" s="8">
        <f>Conjuntivitis!N40</f>
        <v>97726390.780814618</v>
      </c>
      <c r="J18" s="8">
        <f>IRAS!M43</f>
        <v>1061546498.3670201</v>
      </c>
      <c r="K18" s="12">
        <f t="shared" si="0"/>
        <v>1613549983.8644085</v>
      </c>
      <c r="L18" s="8">
        <f t="shared" si="1"/>
        <v>424898141.13656944</v>
      </c>
      <c r="N18" s="139"/>
      <c r="O18" s="101" t="s">
        <v>111</v>
      </c>
      <c r="P18" s="101" t="s">
        <v>113</v>
      </c>
      <c r="Q18" s="142"/>
    </row>
    <row r="19" spans="1:21" ht="15.75" thickBot="1">
      <c r="A19" s="64">
        <v>2031</v>
      </c>
      <c r="B19" s="8">
        <v>138383142.07397586</v>
      </c>
      <c r="C19" s="8">
        <f>EDAS!K62</f>
        <v>232634</v>
      </c>
      <c r="D19" s="8">
        <f>Conjuntivitis!I41</f>
        <v>67625</v>
      </c>
      <c r="E19" s="8">
        <f>IRAS!H44</f>
        <v>599199.00518031546</v>
      </c>
      <c r="F19" s="8">
        <f t="shared" si="2"/>
        <v>899458.00518031546</v>
      </c>
      <c r="G19" s="64">
        <v>2031</v>
      </c>
      <c r="H19" s="8">
        <f>EDAS!P62</f>
        <v>463235793.07118762</v>
      </c>
      <c r="I19" s="8">
        <f>Conjuntivitis!N41</f>
        <v>106563477.37801874</v>
      </c>
      <c r="J19" s="8">
        <f>IRAS!M44</f>
        <v>1128450480.7961531</v>
      </c>
      <c r="K19" s="12">
        <f t="shared" si="0"/>
        <v>1698249751.2453594</v>
      </c>
      <c r="L19" s="8">
        <f t="shared" si="1"/>
        <v>406547488.29129857</v>
      </c>
      <c r="N19" s="140"/>
      <c r="O19" s="88">
        <v>2043</v>
      </c>
      <c r="P19" s="88" t="s">
        <v>99</v>
      </c>
      <c r="Q19" s="143"/>
    </row>
    <row r="20" spans="1:21" ht="15.75" thickBot="1">
      <c r="A20" s="64">
        <v>2032</v>
      </c>
      <c r="B20" s="8">
        <v>139263092.29035321</v>
      </c>
      <c r="C20" s="8">
        <f>EDAS!K63</f>
        <v>236844</v>
      </c>
      <c r="D20" s="8">
        <f>Conjuntivitis!I42</f>
        <v>73290</v>
      </c>
      <c r="E20" s="8">
        <f>IRAS!H45</f>
        <v>636432.33176691411</v>
      </c>
      <c r="F20" s="8">
        <f t="shared" si="2"/>
        <v>946566.33176691411</v>
      </c>
      <c r="G20" s="64">
        <v>2032</v>
      </c>
      <c r="H20" s="8">
        <f>EDAS!P63</f>
        <v>471619016.02582753</v>
      </c>
      <c r="I20" s="8">
        <f>Conjuntivitis!N42</f>
        <v>115490384.57722726</v>
      </c>
      <c r="J20" s="8">
        <f>IRAS!M45</f>
        <v>1198570699.4965224</v>
      </c>
      <c r="K20" s="12">
        <f t="shared" si="0"/>
        <v>1785680100.0995772</v>
      </c>
      <c r="L20" s="8">
        <f t="shared" si="1"/>
        <v>388616016.98233694</v>
      </c>
      <c r="N20" s="89" t="s">
        <v>100</v>
      </c>
      <c r="O20" s="12">
        <f>C31</f>
        <v>265739</v>
      </c>
      <c r="P20" s="91">
        <v>7.4999999999999997E-2</v>
      </c>
      <c r="Q20" s="90">
        <f>C33</f>
        <v>5628861</v>
      </c>
    </row>
    <row r="21" spans="1:21" ht="15.75" thickBot="1">
      <c r="A21" s="64">
        <v>2033</v>
      </c>
      <c r="B21" s="8">
        <v>140118934.10467148</v>
      </c>
      <c r="C21" s="8">
        <f>EDAS!K64</f>
        <v>240774</v>
      </c>
      <c r="D21" s="8">
        <f>Conjuntivitis!I43</f>
        <v>79008</v>
      </c>
      <c r="E21" s="8">
        <f>IRAS!H46</f>
        <v>669768.50502032961</v>
      </c>
      <c r="F21" s="8">
        <f t="shared" si="2"/>
        <v>989550.50502032961</v>
      </c>
      <c r="G21" s="64">
        <v>2033</v>
      </c>
      <c r="H21" s="8">
        <f>EDAS!P64</f>
        <v>479444684.95973122</v>
      </c>
      <c r="I21" s="8">
        <f>Conjuntivitis!N43</f>
        <v>124500809.17829952</v>
      </c>
      <c r="J21" s="8">
        <f>IRAS!M46</f>
        <v>1261351545.9440231</v>
      </c>
      <c r="K21" s="12">
        <f t="shared" si="0"/>
        <v>1865297040.0820539</v>
      </c>
      <c r="L21" s="8">
        <f t="shared" si="1"/>
        <v>369039075.29543585</v>
      </c>
      <c r="N21" s="92" t="s">
        <v>101</v>
      </c>
      <c r="O21" s="106">
        <f>E31</f>
        <v>956049.59477506089</v>
      </c>
      <c r="P21" s="97">
        <f>IRAS!F59</f>
        <v>0.05</v>
      </c>
      <c r="Q21" s="98">
        <f>E33</f>
        <v>14328404.908891561</v>
      </c>
    </row>
    <row r="22" spans="1:21" ht="15.75" thickBot="1">
      <c r="A22" s="64">
        <v>2034</v>
      </c>
      <c r="B22" s="8">
        <v>140950311.77190983</v>
      </c>
      <c r="C22" s="8">
        <f>EDAS!K65</f>
        <v>244428</v>
      </c>
      <c r="D22" s="8">
        <f>Conjuntivitis!I44</f>
        <v>84775</v>
      </c>
      <c r="E22" s="8">
        <f>IRAS!H47</f>
        <v>703342.05574183015</v>
      </c>
      <c r="F22" s="8">
        <f t="shared" si="2"/>
        <v>1032545.0557418301</v>
      </c>
      <c r="G22" s="64">
        <v>2034</v>
      </c>
      <c r="H22" s="8">
        <f>EDAS!P65</f>
        <v>486720764.93033797</v>
      </c>
      <c r="I22" s="8">
        <f>Conjuntivitis!N44</f>
        <v>133588447.98109484</v>
      </c>
      <c r="J22" s="8">
        <f>IRAS!M47</f>
        <v>1324579437.0556087</v>
      </c>
      <c r="K22" s="12">
        <f t="shared" si="0"/>
        <v>1944888649.9670415</v>
      </c>
      <c r="L22" s="8">
        <f t="shared" si="1"/>
        <v>349805319.09123629</v>
      </c>
      <c r="N22" s="89" t="s">
        <v>79</v>
      </c>
      <c r="O22" s="12">
        <f>D31</f>
        <v>143977</v>
      </c>
      <c r="P22" s="91">
        <f>Conjuntivitis!G55</f>
        <v>7.4999999999999997E-2</v>
      </c>
      <c r="Q22" s="90">
        <f>D33</f>
        <v>1731951</v>
      </c>
    </row>
    <row r="23" spans="1:21" ht="15.75" thickBot="1">
      <c r="A23" s="64">
        <v>2035</v>
      </c>
      <c r="B23" s="8">
        <v>141756919.61498782</v>
      </c>
      <c r="C23" s="8">
        <f>EDAS!K66</f>
        <v>247808</v>
      </c>
      <c r="D23" s="8">
        <f>Conjuntivitis!I45</f>
        <v>90589</v>
      </c>
      <c r="E23" s="8">
        <f>IRAS!H48</f>
        <v>735718.41280178679</v>
      </c>
      <c r="F23" s="8">
        <f t="shared" si="2"/>
        <v>1074115.4128017868</v>
      </c>
      <c r="G23" s="64">
        <v>2035</v>
      </c>
      <c r="H23" s="8">
        <f>EDAS!P66</f>
        <v>493451238.46636713</v>
      </c>
      <c r="I23" s="8">
        <f>Conjuntivitis!N45</f>
        <v>142750149.38554293</v>
      </c>
      <c r="J23" s="8">
        <f>IRAS!M48</f>
        <v>1385552695.3135085</v>
      </c>
      <c r="K23" s="12">
        <f t="shared" si="0"/>
        <v>2021754083.1654186</v>
      </c>
      <c r="L23" s="8">
        <f t="shared" si="1"/>
        <v>330572948.08376712</v>
      </c>
      <c r="N23" s="92" t="s">
        <v>16</v>
      </c>
      <c r="O23" s="93"/>
      <c r="P23" s="94">
        <v>0.15</v>
      </c>
      <c r="Q23" s="93"/>
    </row>
    <row r="24" spans="1:21" ht="15.75" thickBot="1">
      <c r="A24" s="64">
        <v>2036</v>
      </c>
      <c r="B24" s="8">
        <v>142538744.34624964</v>
      </c>
      <c r="C24" s="8">
        <f>EDAS!K67</f>
        <v>250922</v>
      </c>
      <c r="D24" s="8">
        <f>Conjuntivitis!I46</f>
        <v>96447</v>
      </c>
      <c r="E24" s="8">
        <f>IRAS!H49</f>
        <v>766858.44458282308</v>
      </c>
      <c r="F24" s="8">
        <f t="shared" si="2"/>
        <v>1114227.4445828232</v>
      </c>
      <c r="G24" s="64">
        <v>2036</v>
      </c>
      <c r="H24" s="8">
        <f>EDAS!P67</f>
        <v>499652035.682697</v>
      </c>
      <c r="I24" s="8">
        <f>Conjuntivitis!N46</f>
        <v>151981185.99153823</v>
      </c>
      <c r="J24" s="8">
        <f>IRAS!M49</f>
        <v>1444197625.5145247</v>
      </c>
      <c r="K24" s="12">
        <f t="shared" si="0"/>
        <v>2095830847.1887598</v>
      </c>
      <c r="L24" s="8">
        <f t="shared" si="1"/>
        <v>311531900.85105151</v>
      </c>
      <c r="N24" s="89" t="s">
        <v>102</v>
      </c>
      <c r="O24" s="95"/>
      <c r="P24" s="96">
        <v>0.25</v>
      </c>
      <c r="Q24" s="95"/>
    </row>
    <row r="25" spans="1:21" ht="15.75" thickBot="1">
      <c r="A25" s="64">
        <v>2037</v>
      </c>
      <c r="B25" s="8">
        <v>143295718.95146972</v>
      </c>
      <c r="C25" s="8">
        <f>EDAS!K68</f>
        <v>253775</v>
      </c>
      <c r="D25" s="8">
        <f>Conjuntivitis!I47</f>
        <v>102346</v>
      </c>
      <c r="E25" s="8">
        <f>IRAS!H50</f>
        <v>796724.19737017166</v>
      </c>
      <c r="F25" s="8">
        <f t="shared" si="2"/>
        <v>1152845.1973701715</v>
      </c>
      <c r="G25" s="64">
        <v>2037</v>
      </c>
      <c r="H25" s="8">
        <f>EDAS!P68</f>
        <v>505333112.90112638</v>
      </c>
      <c r="I25" s="8">
        <f>Conjuntivitis!N47</f>
        <v>161276830.39897531</v>
      </c>
      <c r="J25" s="8">
        <f>IRAS!M50</f>
        <v>1500442750.7581501</v>
      </c>
      <c r="K25" s="12">
        <f t="shared" si="0"/>
        <v>2167052694.0582519</v>
      </c>
      <c r="L25" s="8">
        <f t="shared" si="1"/>
        <v>292835067.78573889</v>
      </c>
      <c r="N25" s="92" t="s">
        <v>103</v>
      </c>
      <c r="O25" s="93"/>
      <c r="P25" s="94">
        <v>0.25</v>
      </c>
      <c r="Q25" s="93"/>
    </row>
    <row r="26" spans="1:21">
      <c r="A26" s="64">
        <v>2038</v>
      </c>
      <c r="B26" s="8">
        <v>144027641.40966272</v>
      </c>
      <c r="C26" s="8">
        <f>EDAS!K69</f>
        <v>256372</v>
      </c>
      <c r="D26" s="8">
        <f>Conjuntivitis!I48</f>
        <v>108283</v>
      </c>
      <c r="E26" s="8">
        <f>IRAS!H51</f>
        <v>825278.38527736743</v>
      </c>
      <c r="F26" s="8">
        <f t="shared" si="2"/>
        <v>1189933.3852773674</v>
      </c>
      <c r="G26" s="64">
        <v>2038</v>
      </c>
      <c r="H26" s="8">
        <f>EDAS!P69</f>
        <v>510504426.44345415</v>
      </c>
      <c r="I26" s="8">
        <f>Conjuntivitis!N48</f>
        <v>170632355.20774868</v>
      </c>
      <c r="J26" s="8">
        <f>IRAS!M51</f>
        <v>1554217851.8415074</v>
      </c>
      <c r="K26" s="12">
        <f t="shared" si="0"/>
        <v>2235354633.4927101</v>
      </c>
      <c r="L26" s="8">
        <f t="shared" si="1"/>
        <v>274604316.23383135</v>
      </c>
    </row>
    <row r="27" spans="1:21">
      <c r="A27" s="64">
        <v>2039</v>
      </c>
      <c r="B27" s="8">
        <v>144734345.63020808</v>
      </c>
      <c r="C27" s="8">
        <f>EDAS!K70</f>
        <v>258720</v>
      </c>
      <c r="D27" s="8">
        <f>Conjuntivitis!I49</f>
        <v>114255</v>
      </c>
      <c r="E27" s="8">
        <f>IRAS!H52</f>
        <v>853932.6392182277</v>
      </c>
      <c r="F27" s="8">
        <f t="shared" si="2"/>
        <v>1226907.6392182277</v>
      </c>
      <c r="G27" s="64">
        <v>2039</v>
      </c>
      <c r="H27" s="8">
        <f>EDAS!P70</f>
        <v>515179915.16019863</v>
      </c>
      <c r="I27" s="8">
        <f>Conjuntivitis!N49</f>
        <v>180043033.01775277</v>
      </c>
      <c r="J27" s="8">
        <f>IRAS!M52</f>
        <v>1608181403.7781272</v>
      </c>
      <c r="K27" s="12">
        <f t="shared" si="0"/>
        <v>2303404351.9560785</v>
      </c>
      <c r="L27" s="8">
        <f t="shared" si="1"/>
        <v>257239954.68170735</v>
      </c>
    </row>
    <row r="28" spans="1:21" ht="16.5" customHeight="1">
      <c r="A28" s="64">
        <v>2040</v>
      </c>
      <c r="B28" s="8">
        <v>145415858.7078613</v>
      </c>
      <c r="C28" s="8">
        <f>EDAS!K71</f>
        <v>260824</v>
      </c>
      <c r="D28" s="8">
        <f>Conjuntivitis!I50</f>
        <v>120259</v>
      </c>
      <c r="E28" s="8">
        <f>IRAS!H53</f>
        <v>881220.10376963939</v>
      </c>
      <c r="F28" s="8">
        <f t="shared" si="2"/>
        <v>1262303.1037696395</v>
      </c>
      <c r="G28" s="64">
        <v>2040</v>
      </c>
      <c r="H28" s="8">
        <f>EDAS!P71</f>
        <v>519369535.37315881</v>
      </c>
      <c r="I28" s="8">
        <f>Conjuntivitis!N50</f>
        <v>189504136.42888218</v>
      </c>
      <c r="J28" s="8">
        <f>IRAS!M53</f>
        <v>1659570929.1720858</v>
      </c>
      <c r="K28" s="12">
        <f t="shared" si="0"/>
        <v>2368444600.9741268</v>
      </c>
      <c r="L28" s="8">
        <f t="shared" si="1"/>
        <v>240457754.43138379</v>
      </c>
    </row>
    <row r="29" spans="1:21">
      <c r="A29" s="64">
        <v>2041</v>
      </c>
      <c r="B29" s="8">
        <v>146072453.29511857</v>
      </c>
      <c r="C29" s="8">
        <f>EDAS!K72</f>
        <v>262691</v>
      </c>
      <c r="D29" s="8">
        <f>Conjuntivitis!I51</f>
        <v>126293</v>
      </c>
      <c r="E29" s="8">
        <f>IRAS!H54</f>
        <v>907109.93496268627</v>
      </c>
      <c r="F29" s="8">
        <f t="shared" si="2"/>
        <v>1296093.9349626862</v>
      </c>
      <c r="G29" s="64">
        <v>2041</v>
      </c>
      <c r="H29" s="8">
        <f>EDAS!P72</f>
        <v>523087225.93285298</v>
      </c>
      <c r="I29" s="8">
        <f>Conjuntivitis!N51</f>
        <v>199012513.84106648</v>
      </c>
      <c r="J29" s="8">
        <f>IRAS!M54</f>
        <v>1708328340.6579964</v>
      </c>
      <c r="K29" s="12">
        <f t="shared" si="0"/>
        <v>2430428080.4319158</v>
      </c>
      <c r="L29" s="8">
        <f t="shared" si="1"/>
        <v>224318785.68102938</v>
      </c>
      <c r="N29" s="103" t="s">
        <v>97</v>
      </c>
      <c r="O29" s="103"/>
      <c r="P29" s="103" t="s">
        <v>106</v>
      </c>
      <c r="Q29" s="103"/>
      <c r="R29" s="104" t="s">
        <v>116</v>
      </c>
      <c r="S29" s="103">
        <v>2014</v>
      </c>
    </row>
    <row r="30" spans="1:21">
      <c r="A30" s="64">
        <v>2042</v>
      </c>
      <c r="B30" s="8">
        <v>146704226.83203495</v>
      </c>
      <c r="C30" s="8">
        <f>EDAS!K73</f>
        <v>264327</v>
      </c>
      <c r="D30" s="8">
        <f>Conjuntivitis!I52</f>
        <v>132354</v>
      </c>
      <c r="E30" s="8">
        <f>IRAS!H55</f>
        <v>931571.84038342198</v>
      </c>
      <c r="F30" s="8">
        <f t="shared" si="2"/>
        <v>1328252.8403834221</v>
      </c>
      <c r="G30" s="64">
        <v>2042</v>
      </c>
      <c r="H30" s="8">
        <f>EDAS!P73</f>
        <v>526344934.42544001</v>
      </c>
      <c r="I30" s="8">
        <f>Conjuntivitis!N52</f>
        <v>208563437.85420027</v>
      </c>
      <c r="J30" s="8">
        <f>IRAS!M55</f>
        <v>1754396589.5946121</v>
      </c>
      <c r="K30" s="12">
        <f t="shared" si="0"/>
        <v>2489304961.8742523</v>
      </c>
      <c r="L30" s="8">
        <f t="shared" si="1"/>
        <v>208866260.20300224</v>
      </c>
      <c r="N30" s="103"/>
      <c r="O30" s="103"/>
      <c r="P30" s="103" t="s">
        <v>120</v>
      </c>
      <c r="Q30" s="103"/>
      <c r="R30" s="113">
        <v>119.97108333333334</v>
      </c>
      <c r="S30" s="113">
        <v>113.58841666666666</v>
      </c>
      <c r="T30" s="46" t="s">
        <v>136</v>
      </c>
      <c r="U30" s="46"/>
    </row>
    <row r="31" spans="1:21">
      <c r="A31" s="64">
        <v>2043</v>
      </c>
      <c r="B31" s="8">
        <v>147311185.63560259</v>
      </c>
      <c r="C31" s="8">
        <f>EDAS!K74</f>
        <v>265739</v>
      </c>
      <c r="D31" s="8">
        <f>Conjuntivitis!I53</f>
        <v>143977</v>
      </c>
      <c r="E31" s="8">
        <f>IRAS!H56</f>
        <v>956049.59477506089</v>
      </c>
      <c r="F31" s="8">
        <f t="shared" si="2"/>
        <v>1365765.5947750609</v>
      </c>
      <c r="G31" s="64">
        <v>2043</v>
      </c>
      <c r="H31" s="8">
        <f>EDAS!P74</f>
        <v>529156599.70143795</v>
      </c>
      <c r="I31" s="8">
        <f>Conjuntivitis!N53</f>
        <v>226878961.66292056</v>
      </c>
      <c r="J31" s="8">
        <f>IRAS!M56</f>
        <v>1800494686.3425245</v>
      </c>
      <c r="K31" s="12">
        <f t="shared" si="0"/>
        <v>2556530247.706883</v>
      </c>
      <c r="L31" s="8">
        <f t="shared" si="1"/>
        <v>195006207.50575498</v>
      </c>
      <c r="N31" s="103" t="s">
        <v>114</v>
      </c>
      <c r="O31" s="103"/>
      <c r="P31" s="103">
        <v>2014</v>
      </c>
      <c r="Q31" s="104" t="s">
        <v>107</v>
      </c>
      <c r="R31" s="103"/>
      <c r="S31" s="103"/>
    </row>
    <row r="32" spans="1:21">
      <c r="N32" t="s">
        <v>117</v>
      </c>
      <c r="P32" s="26">
        <f>T47</f>
        <v>698.44124999999997</v>
      </c>
      <c r="R32" s="49">
        <f>P32*$R$30/$S$30</f>
        <v>737.68748492272175</v>
      </c>
    </row>
    <row r="33" spans="3:20">
      <c r="C33" s="48">
        <f>SUM(C6:C32)</f>
        <v>5628861</v>
      </c>
      <c r="D33" s="48">
        <f>SUM(D5:D32)</f>
        <v>1731951</v>
      </c>
      <c r="E33" s="48">
        <f>SUM(E5:E32)</f>
        <v>14328404.908891561</v>
      </c>
      <c r="F33" s="48">
        <f>SUM(F5:F32)</f>
        <v>21689216.908891562</v>
      </c>
      <c r="H33" s="48">
        <f>SUM(H5:H32)</f>
        <v>11208550295.410294</v>
      </c>
      <c r="I33" s="48">
        <f>SUM(I5:I32)</f>
        <v>2729208446.7036881</v>
      </c>
      <c r="J33" s="48">
        <f>SUM(J5:J32)</f>
        <v>26984182665.014572</v>
      </c>
      <c r="K33" s="48">
        <f>SUM(K5:K32)</f>
        <v>40921941407.128548</v>
      </c>
      <c r="L33" s="48">
        <f>SUM(L5:L32)</f>
        <v>9296007705.4739475</v>
      </c>
      <c r="N33" t="s">
        <v>108</v>
      </c>
      <c r="P33" s="49">
        <v>597.20000000000005</v>
      </c>
      <c r="R33" s="49">
        <f t="shared" ref="R33:R35" si="3">P33*$R$30/$S$30</f>
        <v>630.75737006634336</v>
      </c>
    </row>
    <row r="34" spans="3:20">
      <c r="N34" t="s">
        <v>79</v>
      </c>
      <c r="P34" s="26">
        <f>T45</f>
        <v>308.97500000000002</v>
      </c>
      <c r="R34" s="49">
        <f t="shared" si="3"/>
        <v>326.3366684799874</v>
      </c>
    </row>
    <row r="35" spans="3:20">
      <c r="N35" t="s">
        <v>16</v>
      </c>
      <c r="P35" s="26">
        <f>T46</f>
        <v>452.11500000000001</v>
      </c>
      <c r="R35" s="49">
        <f t="shared" si="3"/>
        <v>477.51987335489758</v>
      </c>
    </row>
    <row r="36" spans="3:20">
      <c r="N36" t="s">
        <v>109</v>
      </c>
      <c r="Q36" s="100">
        <v>46165.3</v>
      </c>
      <c r="R36" s="49">
        <f>Q36*$R$30/$S$30</f>
        <v>48759.382478773885</v>
      </c>
    </row>
    <row r="38" spans="3:20">
      <c r="M38" s="53" t="s">
        <v>115</v>
      </c>
      <c r="N38" s="102" t="s">
        <v>118</v>
      </c>
    </row>
    <row r="39" spans="3:20">
      <c r="M39" s="52"/>
      <c r="N39" s="52" t="s">
        <v>119</v>
      </c>
    </row>
    <row r="41" spans="3:20">
      <c r="N41" s="112" t="s">
        <v>134</v>
      </c>
      <c r="O41" s="103"/>
      <c r="P41" s="103"/>
      <c r="Q41" s="103"/>
      <c r="R41" s="103"/>
      <c r="S41" s="103"/>
      <c r="T41" s="103"/>
    </row>
    <row r="42" spans="3:20">
      <c r="N42" s="52" t="s">
        <v>68</v>
      </c>
      <c r="O42" s="52" t="s">
        <v>135</v>
      </c>
    </row>
    <row r="43" spans="3:20">
      <c r="N43" s="46"/>
      <c r="O43" s="46"/>
      <c r="P43" s="46"/>
      <c r="Q43" s="46" t="s">
        <v>132</v>
      </c>
      <c r="R43" s="46" t="s">
        <v>128</v>
      </c>
      <c r="S43" s="46"/>
      <c r="T43" s="46" t="s">
        <v>133</v>
      </c>
    </row>
    <row r="44" spans="3:20">
      <c r="N44" s="46" t="s">
        <v>121</v>
      </c>
      <c r="O44" s="46"/>
      <c r="P44" s="46"/>
      <c r="Q44" s="46" t="s">
        <v>131</v>
      </c>
      <c r="R44" s="46" t="s">
        <v>131</v>
      </c>
      <c r="S44" s="46"/>
      <c r="T44" s="46">
        <v>2014</v>
      </c>
    </row>
    <row r="45" spans="3:20">
      <c r="N45" s="75">
        <v>37</v>
      </c>
      <c r="O45" s="75" t="s">
        <v>79</v>
      </c>
      <c r="P45" s="75"/>
      <c r="Q45" s="110">
        <v>320.5</v>
      </c>
      <c r="R45" s="110">
        <v>297.45</v>
      </c>
      <c r="S45" s="111" t="str">
        <f>O45</f>
        <v>Conjuntivitis</v>
      </c>
      <c r="T45" s="111">
        <f>AVERAGE(Q45:R45)</f>
        <v>308.97500000000002</v>
      </c>
    </row>
    <row r="46" spans="3:20">
      <c r="N46" s="75">
        <v>67</v>
      </c>
      <c r="O46" s="75" t="s">
        <v>16</v>
      </c>
      <c r="P46" s="75"/>
      <c r="Q46" s="110">
        <v>466.8</v>
      </c>
      <c r="R46" s="110">
        <v>437.43</v>
      </c>
      <c r="S46" s="111" t="str">
        <f>O46</f>
        <v>Escabiosis</v>
      </c>
      <c r="T46" s="111">
        <f>AVERAGE(Q46:R46)</f>
        <v>452.11500000000001</v>
      </c>
    </row>
    <row r="47" spans="3:20">
      <c r="N47" s="107" t="s">
        <v>37</v>
      </c>
      <c r="O47" s="107"/>
      <c r="P47" s="107"/>
      <c r="Q47" s="108"/>
      <c r="R47" s="108"/>
      <c r="S47" s="109" t="str">
        <f>N47</f>
        <v>EDAS</v>
      </c>
      <c r="T47" s="109">
        <f>AVERAGE(Q48:R51)</f>
        <v>698.44124999999997</v>
      </c>
    </row>
    <row r="48" spans="3:20">
      <c r="N48" s="107">
        <v>40</v>
      </c>
      <c r="O48" s="107" t="s">
        <v>122</v>
      </c>
      <c r="P48" s="107"/>
      <c r="Q48" s="108">
        <v>1686</v>
      </c>
      <c r="R48" s="108">
        <v>433.26</v>
      </c>
      <c r="S48" s="109"/>
      <c r="T48" s="109"/>
    </row>
    <row r="49" spans="14:20">
      <c r="N49" s="107">
        <v>41</v>
      </c>
      <c r="O49" s="107" t="s">
        <v>123</v>
      </c>
      <c r="P49" s="107"/>
      <c r="Q49" s="108">
        <v>685</v>
      </c>
      <c r="R49" s="108">
        <v>524.91</v>
      </c>
      <c r="S49" s="109"/>
      <c r="T49" s="109"/>
    </row>
    <row r="50" spans="14:20">
      <c r="N50" s="107">
        <v>42</v>
      </c>
      <c r="O50" s="107" t="s">
        <v>124</v>
      </c>
      <c r="P50" s="107"/>
      <c r="Q50" s="108">
        <v>680</v>
      </c>
      <c r="R50" s="108">
        <v>524.91</v>
      </c>
      <c r="S50" s="109"/>
      <c r="T50" s="109"/>
    </row>
    <row r="51" spans="14:20">
      <c r="N51" s="107">
        <v>54</v>
      </c>
      <c r="O51" s="107" t="s">
        <v>125</v>
      </c>
      <c r="P51" s="107"/>
      <c r="Q51" s="108">
        <v>616</v>
      </c>
      <c r="R51" s="108">
        <v>437.45</v>
      </c>
      <c r="S51" s="109"/>
      <c r="T51" s="109"/>
    </row>
    <row r="52" spans="14:20">
      <c r="N52" s="75" t="s">
        <v>80</v>
      </c>
      <c r="O52" s="75"/>
      <c r="P52" s="75"/>
      <c r="Q52" s="110"/>
      <c r="R52" s="110"/>
      <c r="S52" s="111" t="str">
        <f>N52</f>
        <v>IRAS</v>
      </c>
      <c r="T52" s="111">
        <f>AVERAGE(Q53:R56)</f>
        <v>492.59</v>
      </c>
    </row>
    <row r="53" spans="14:20">
      <c r="N53" s="75">
        <v>33</v>
      </c>
      <c r="O53" s="75" t="s">
        <v>126</v>
      </c>
      <c r="P53" s="75"/>
      <c r="Q53" s="110">
        <v>476</v>
      </c>
      <c r="R53" s="110">
        <v>262.45999999999998</v>
      </c>
      <c r="S53" s="110"/>
      <c r="T53" s="110"/>
    </row>
    <row r="54" spans="14:20">
      <c r="N54" s="75">
        <v>36</v>
      </c>
      <c r="O54" s="75" t="s">
        <v>127</v>
      </c>
      <c r="P54" s="75"/>
      <c r="Q54" s="110">
        <v>316.5</v>
      </c>
      <c r="R54" s="110">
        <v>297.45</v>
      </c>
      <c r="S54" s="110"/>
      <c r="T54" s="110"/>
    </row>
    <row r="55" spans="14:20">
      <c r="N55" s="75">
        <v>109</v>
      </c>
      <c r="O55" s="75" t="s">
        <v>129</v>
      </c>
      <c r="P55" s="75"/>
      <c r="Q55" s="110">
        <v>1172.45</v>
      </c>
      <c r="R55" s="110">
        <v>437.43</v>
      </c>
      <c r="S55" s="110"/>
      <c r="T55" s="110"/>
    </row>
    <row r="56" spans="14:20">
      <c r="N56" s="75">
        <v>111</v>
      </c>
      <c r="O56" s="75" t="s">
        <v>130</v>
      </c>
      <c r="P56" s="75"/>
      <c r="Q56" s="110">
        <v>541</v>
      </c>
      <c r="R56" s="110">
        <v>437.43</v>
      </c>
      <c r="S56" s="110"/>
      <c r="T56" s="110"/>
    </row>
  </sheetData>
  <mergeCells count="2">
    <mergeCell ref="N17:N19"/>
    <mergeCell ref="Q17:Q1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EDAS</vt:lpstr>
      <vt:lpstr>Conjuntivitis</vt:lpstr>
      <vt:lpstr>IRAS</vt:lpstr>
      <vt:lpstr>Resumen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Anthony Servin Jungdorf</dc:creator>
  <cp:lastModifiedBy>Laptop</cp:lastModifiedBy>
  <dcterms:created xsi:type="dcterms:W3CDTF">2017-02-23T01:05:01Z</dcterms:created>
  <dcterms:modified xsi:type="dcterms:W3CDTF">2020-05-13T00:31:43Z</dcterms:modified>
</cp:coreProperties>
</file>