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cuments\Costo-Beneficio\Anexo C\"/>
    </mc:Choice>
  </mc:AlternateContent>
  <bookViews>
    <workbookView xWindow="0" yWindow="0" windowWidth="20490" windowHeight="7065"/>
  </bookViews>
  <sheets>
    <sheet name="DAP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40" i="2" l="1"/>
  <c r="F40" i="2"/>
  <c r="E40" i="2"/>
  <c r="F28" i="2"/>
  <c r="F4" i="2"/>
  <c r="H17" i="1"/>
  <c r="H16" i="1"/>
  <c r="N26" i="1"/>
  <c r="N29" i="1"/>
  <c r="N23" i="1"/>
  <c r="N22" i="1"/>
  <c r="X22" i="1"/>
  <c r="X23" i="1"/>
  <c r="X26" i="1"/>
  <c r="X29" i="1"/>
  <c r="X19" i="1"/>
  <c r="X17" i="1"/>
  <c r="N17" i="1"/>
  <c r="P17" i="1" s="1"/>
  <c r="D44" i="2" l="1"/>
  <c r="G45" i="2" l="1"/>
  <c r="G28" i="2" l="1"/>
  <c r="D27" i="2"/>
  <c r="C27" i="2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5" i="2"/>
  <c r="F6" i="2"/>
  <c r="F7" i="2"/>
  <c r="F8" i="2"/>
  <c r="F9" i="2"/>
  <c r="F10" i="2"/>
  <c r="F11" i="2"/>
  <c r="F12" i="2"/>
  <c r="F13" i="2"/>
  <c r="B14" i="2"/>
  <c r="P26" i="1"/>
  <c r="N24" i="1"/>
  <c r="P24" i="1" s="1"/>
  <c r="U24" i="1"/>
  <c r="X24" i="1" s="1"/>
  <c r="U20" i="1"/>
  <c r="N20" i="1" l="1"/>
  <c r="P20" i="1" s="1"/>
  <c r="X20" i="1"/>
  <c r="P29" i="1"/>
  <c r="P23" i="1"/>
  <c r="P22" i="1"/>
  <c r="P19" i="1"/>
  <c r="J8" i="1"/>
  <c r="J6" i="1"/>
  <c r="J7" i="1"/>
  <c r="P21" i="1"/>
  <c r="N27" i="1" l="1"/>
  <c r="P27" i="1" s="1"/>
  <c r="N25" i="1"/>
  <c r="P25" i="1" s="1"/>
  <c r="N18" i="1"/>
  <c r="P18" i="1" s="1"/>
  <c r="H18" i="1"/>
  <c r="H19" i="1" s="1"/>
  <c r="H20" i="1" s="1"/>
  <c r="H27" i="1"/>
  <c r="H28" i="1"/>
  <c r="H29" i="1"/>
  <c r="H30" i="1"/>
  <c r="H31" i="1"/>
  <c r="H32" i="1"/>
  <c r="H26" i="1"/>
  <c r="F27" i="1"/>
  <c r="F28" i="1"/>
  <c r="F29" i="1"/>
  <c r="F30" i="1"/>
  <c r="F31" i="1"/>
  <c r="F32" i="1"/>
  <c r="F26" i="1"/>
  <c r="E34" i="1"/>
  <c r="C34" i="1"/>
  <c r="F34" i="1" l="1"/>
  <c r="G34" i="1" s="1"/>
  <c r="H36" i="1"/>
  <c r="H33" i="1"/>
  <c r="H34" i="1" s="1"/>
  <c r="P28" i="1" l="1"/>
  <c r="P31" i="1" s="1"/>
  <c r="C41" i="2" s="1"/>
  <c r="F41" i="2" s="1"/>
  <c r="F46" i="2" s="1"/>
  <c r="N28" i="1"/>
  <c r="F42" i="2"/>
</calcChain>
</file>

<file path=xl/sharedStrings.xml><?xml version="1.0" encoding="utf-8"?>
<sst xmlns="http://schemas.openxmlformats.org/spreadsheetml/2006/main" count="165" uniqueCount="138">
  <si>
    <t>Disposición a pagar</t>
  </si>
  <si>
    <t>Variable</t>
  </si>
  <si>
    <t>Obs</t>
  </si>
  <si>
    <t>Media</t>
  </si>
  <si>
    <t>Des Est</t>
  </si>
  <si>
    <t>Min</t>
  </si>
  <si>
    <t>Max</t>
  </si>
  <si>
    <t>Rdispo</t>
  </si>
  <si>
    <t xml:space="preserve">Soto </t>
  </si>
  <si>
    <t>Sánchez</t>
  </si>
  <si>
    <t xml:space="preserve">para mejorar la calidad del agua de ríos contaminados </t>
  </si>
  <si>
    <t>Atoyac</t>
  </si>
  <si>
    <t>Apatlaco</t>
  </si>
  <si>
    <t>Disposición a Pagar</t>
  </si>
  <si>
    <t>Nivel Lago</t>
  </si>
  <si>
    <t>DAP</t>
  </si>
  <si>
    <t>Valor de Uso No-Consuntivo (marginales)</t>
  </si>
  <si>
    <t>VUNC</t>
  </si>
  <si>
    <t>O.66</t>
  </si>
  <si>
    <t>Olaiz et al.</t>
  </si>
  <si>
    <t>Lerma -Chapala</t>
  </si>
  <si>
    <t>$/mes/      vivienda</t>
  </si>
  <si>
    <t>De 10 a 20 pesos</t>
  </si>
  <si>
    <t>De 21 a 40 pesos</t>
  </si>
  <si>
    <t>De 41 a 60 pesos</t>
  </si>
  <si>
    <t>De 61 a 80 pesos</t>
  </si>
  <si>
    <t>De 81 a 100 pesos</t>
  </si>
  <si>
    <t>De 101 a 120 pesos</t>
  </si>
  <si>
    <t>Más de 121 pesos</t>
  </si>
  <si>
    <t>Total de viviendas</t>
  </si>
  <si>
    <t xml:space="preserve">Intervalos de pesos </t>
  </si>
  <si>
    <t xml:space="preserve">Abs </t>
  </si>
  <si>
    <t>%</t>
  </si>
  <si>
    <r>
      <t xml:space="preserve">Tabla 5. 21 Cantidad extraordinaria mensual para la </t>
    </r>
    <r>
      <rPr>
        <b/>
        <sz val="11"/>
        <color rgb="FF0000CC"/>
        <rFont val="Calibri"/>
        <family val="2"/>
        <scheme val="minor"/>
      </rPr>
      <t>conservación del acuífero de Cuernavaca</t>
    </r>
    <r>
      <rPr>
        <sz val="11"/>
        <color theme="1"/>
        <rFont val="Calibri"/>
        <family val="2"/>
        <scheme val="minor"/>
      </rPr>
      <t xml:space="preserve">, de los que están dispuestos a la aportación </t>
    </r>
  </si>
  <si>
    <t xml:space="preserve">$ </t>
  </si>
  <si>
    <t>Promedio</t>
  </si>
  <si>
    <t>Mensual</t>
  </si>
  <si>
    <t>INPC</t>
  </si>
  <si>
    <t>Almendarez (de la tesis de Camacho)</t>
  </si>
  <si>
    <t>Río Albarregas</t>
  </si>
  <si>
    <t>Colombia rural</t>
  </si>
  <si>
    <t>Tipo de cambio:</t>
  </si>
  <si>
    <t>https://www.oanda.com/lang/es/currency/converter/</t>
  </si>
  <si>
    <t>España, río Serpis</t>
  </si>
  <si>
    <t>Chapala</t>
  </si>
  <si>
    <t>Arroyo ramón</t>
  </si>
  <si>
    <t>Argentina</t>
  </si>
  <si>
    <t>Acuífero Cuenavaca</t>
  </si>
  <si>
    <t>México</t>
  </si>
  <si>
    <t>España</t>
  </si>
  <si>
    <t>Perú</t>
  </si>
  <si>
    <t>Lago Titicaca, Puno</t>
  </si>
  <si>
    <t>Venezuela</t>
  </si>
  <si>
    <t>Colombia</t>
  </si>
  <si>
    <t>año</t>
  </si>
  <si>
    <t>euros anuales</t>
  </si>
  <si>
    <t>Tipo de cambio</t>
  </si>
  <si>
    <t>Población dispuesta</t>
  </si>
  <si>
    <t>Bs mensuales</t>
  </si>
  <si>
    <t>Pesos mes</t>
  </si>
  <si>
    <t>soles mensuales</t>
  </si>
  <si>
    <t>Bimestral</t>
  </si>
  <si>
    <t>Guadalquivir</t>
  </si>
  <si>
    <t xml:space="preserve">Cusco </t>
  </si>
  <si>
    <t>Lago Mucubají</t>
  </si>
  <si>
    <t>Soles mensuales</t>
  </si>
  <si>
    <t>7 912</t>
  </si>
  <si>
    <t>8 454</t>
  </si>
  <si>
    <t>II</t>
  </si>
  <si>
    <t>13 706</t>
  </si>
  <si>
    <t>13 904</t>
  </si>
  <si>
    <t>III</t>
  </si>
  <si>
    <t>18 309</t>
  </si>
  <si>
    <t>18 419</t>
  </si>
  <si>
    <t>IV</t>
  </si>
  <si>
    <t>23 032</t>
  </si>
  <si>
    <t>23 185</t>
  </si>
  <si>
    <t>V</t>
  </si>
  <si>
    <t>28 432</t>
  </si>
  <si>
    <t>28 489</t>
  </si>
  <si>
    <t>VI</t>
  </si>
  <si>
    <t>34 749</t>
  </si>
  <si>
    <t>34 891</t>
  </si>
  <si>
    <t>VII</t>
  </si>
  <si>
    <t>42 918</t>
  </si>
  <si>
    <t>43 048</t>
  </si>
  <si>
    <t>VIII</t>
  </si>
  <si>
    <t>53 670</t>
  </si>
  <si>
    <t>54 199</t>
  </si>
  <si>
    <t>IX</t>
  </si>
  <si>
    <t>72 653</t>
  </si>
  <si>
    <t>73 304</t>
  </si>
  <si>
    <t>X</t>
  </si>
  <si>
    <t>169 850</t>
  </si>
  <si>
    <t>161 026</t>
  </si>
  <si>
    <t>I</t>
  </si>
  <si>
    <t>TOTAL</t>
  </si>
  <si>
    <t>HOGARES</t>
  </si>
  <si>
    <t>INGRESO</t>
  </si>
  <si>
    <t>INGRESO CORRIENTE</t>
  </si>
  <si>
    <t xml:space="preserve">  33 218 037</t>
  </si>
  <si>
    <t xml:space="preserve"> 1 524 262 517</t>
  </si>
  <si>
    <t xml:space="preserve">I </t>
  </si>
  <si>
    <t xml:space="preserve">II </t>
  </si>
  <si>
    <t>Miles de pesos</t>
  </si>
  <si>
    <t>por trimestre</t>
  </si>
  <si>
    <t>mensual</t>
  </si>
  <si>
    <t>Hogares</t>
  </si>
  <si>
    <t>+5 salarios</t>
  </si>
  <si>
    <t>Cuerpo de agua</t>
  </si>
  <si>
    <t>País</t>
  </si>
  <si>
    <t>anuales</t>
  </si>
  <si>
    <t>n =</t>
  </si>
  <si>
    <t>Horizonte</t>
  </si>
  <si>
    <t>años</t>
  </si>
  <si>
    <t>i =</t>
  </si>
  <si>
    <t>DECILES DE HOGARES</t>
  </si>
  <si>
    <t>INEGI. Módulo de Condiciones Socioeconómicas (MCS) 2015. Tabulados básicos. 2016.</t>
  </si>
  <si>
    <t>Fuente:</t>
  </si>
  <si>
    <r>
      <t>(1+i)</t>
    </r>
    <r>
      <rPr>
        <vertAlign val="super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</si>
  <si>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t>Hogares con capacidad de pago</t>
  </si>
  <si>
    <t>MN, MX</t>
  </si>
  <si>
    <t>Bs anuales</t>
  </si>
  <si>
    <t>DAP Promedio</t>
  </si>
  <si>
    <t>Suma</t>
  </si>
  <si>
    <t>Información de los estudios</t>
  </si>
  <si>
    <r>
      <t>hm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</si>
  <si>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$/m</t>
    </r>
    <r>
      <rPr>
        <vertAlign val="superscript"/>
        <sz val="12"/>
        <color theme="1"/>
        <rFont val="Calibri"/>
        <family val="2"/>
        <scheme val="minor"/>
      </rPr>
      <t>3</t>
    </r>
  </si>
  <si>
    <t xml:space="preserve">Salario mínimo </t>
  </si>
  <si>
    <t xml:space="preserve">diario </t>
  </si>
  <si>
    <t>INGRESO CORRIENTE DE LOS HOGARES</t>
  </si>
  <si>
    <t>DISPONIBILIDAD A PAGAR</t>
  </si>
  <si>
    <t>Precio 2003</t>
  </si>
  <si>
    <t>Precio 2011</t>
  </si>
  <si>
    <t>Precio 2013</t>
  </si>
  <si>
    <t>Precio 2009</t>
  </si>
  <si>
    <t>Precio 2010</t>
  </si>
  <si>
    <t>Promedio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</si>
</sst>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  <numFmt numFmtId="166" formatCode="0.000"/>
    <numFmt numFmtId="167" formatCode="0.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8.5"/>
      <name val="LinePrinte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000080"/>
      <name val="Arial"/>
      <family val="2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7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0" fontId="0" fillId="3" borderId="0" xfId="0" applyFill="1"/>
    <xf numFmtId="43" fontId="0" fillId="0" borderId="0" xfId="0" applyNumberFormat="1"/>
    <xf numFmtId="0" fontId="3" fillId="0" borderId="0" xfId="2"/>
    <xf numFmtId="0" fontId="0" fillId="4" borderId="0" xfId="0" applyFill="1"/>
    <xf numFmtId="43" fontId="0" fillId="4" borderId="0" xfId="0" applyNumberFormat="1" applyFill="1"/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right" vertical="center"/>
    </xf>
    <xf numFmtId="1" fontId="0" fillId="0" borderId="0" xfId="0" applyNumberFormat="1"/>
    <xf numFmtId="165" fontId="0" fillId="0" borderId="0" xfId="0" applyNumberFormat="1"/>
    <xf numFmtId="0" fontId="6" fillId="4" borderId="0" xfId="0" applyFont="1" applyFill="1" applyAlignment="1">
      <alignment vertical="center"/>
    </xf>
    <xf numFmtId="165" fontId="0" fillId="4" borderId="0" xfId="0" applyNumberFormat="1" applyFill="1"/>
    <xf numFmtId="165" fontId="0" fillId="4" borderId="0" xfId="1" applyNumberFormat="1" applyFont="1" applyFill="1"/>
    <xf numFmtId="164" fontId="0" fillId="4" borderId="0" xfId="1" applyNumberFormat="1" applyFont="1" applyFill="1"/>
    <xf numFmtId="164" fontId="0" fillId="4" borderId="0" xfId="0" applyNumberFormat="1" applyFill="1"/>
    <xf numFmtId="0" fontId="0" fillId="5" borderId="0" xfId="0" applyFill="1"/>
    <xf numFmtId="43" fontId="0" fillId="5" borderId="0" xfId="0" applyNumberFormat="1" applyFill="1"/>
    <xf numFmtId="0" fontId="5" fillId="5" borderId="0" xfId="0" applyFont="1" applyFill="1"/>
    <xf numFmtId="43" fontId="5" fillId="5" borderId="0" xfId="1" applyFont="1" applyFill="1"/>
    <xf numFmtId="43" fontId="5" fillId="5" borderId="0" xfId="0" applyNumberFormat="1" applyFont="1" applyFill="1"/>
    <xf numFmtId="165" fontId="5" fillId="5" borderId="0" xfId="0" applyNumberFormat="1" applyFont="1" applyFill="1"/>
    <xf numFmtId="0" fontId="5" fillId="5" borderId="0" xfId="0" applyFont="1" applyFill="1" applyAlignment="1">
      <alignment horizontal="center"/>
    </xf>
    <xf numFmtId="165" fontId="5" fillId="5" borderId="0" xfId="1" applyNumberFormat="1" applyFont="1" applyFill="1"/>
    <xf numFmtId="0" fontId="0" fillId="6" borderId="0" xfId="0" applyFill="1"/>
    <xf numFmtId="3" fontId="5" fillId="6" borderId="0" xfId="0" applyNumberFormat="1" applyFont="1" applyFill="1"/>
    <xf numFmtId="0" fontId="5" fillId="6" borderId="0" xfId="0" applyFont="1" applyFill="1"/>
    <xf numFmtId="0" fontId="5" fillId="6" borderId="0" xfId="0" applyFont="1" applyFill="1" applyAlignment="1">
      <alignment horizontal="right"/>
    </xf>
    <xf numFmtId="0" fontId="0" fillId="0" borderId="0" xfId="0" quotePrefix="1" applyAlignment="1">
      <alignment horizontal="right"/>
    </xf>
    <xf numFmtId="0" fontId="13" fillId="0" borderId="0" xfId="0" applyFont="1"/>
    <xf numFmtId="0" fontId="12" fillId="0" borderId="0" xfId="0" applyFont="1" applyAlignment="1">
      <alignment vertical="center"/>
    </xf>
    <xf numFmtId="0" fontId="0" fillId="4" borderId="7" xfId="0" applyFill="1" applyBorder="1"/>
    <xf numFmtId="165" fontId="0" fillId="4" borderId="7" xfId="1" applyNumberFormat="1" applyFont="1" applyFill="1" applyBorder="1"/>
    <xf numFmtId="164" fontId="0" fillId="4" borderId="7" xfId="1" applyNumberFormat="1" applyFont="1" applyFill="1" applyBorder="1"/>
    <xf numFmtId="164" fontId="0" fillId="4" borderId="7" xfId="0" applyNumberFormat="1" applyFill="1" applyBorder="1"/>
    <xf numFmtId="0" fontId="0" fillId="4" borderId="0" xfId="0" applyFill="1" applyBorder="1"/>
    <xf numFmtId="165" fontId="0" fillId="4" borderId="0" xfId="1" applyNumberFormat="1" applyFont="1" applyFill="1" applyBorder="1"/>
    <xf numFmtId="164" fontId="0" fillId="4" borderId="0" xfId="1" applyNumberFormat="1" applyFont="1" applyFill="1" applyBorder="1"/>
    <xf numFmtId="164" fontId="0" fillId="4" borderId="0" xfId="0" applyNumberFormat="1" applyFill="1" applyBorder="1"/>
    <xf numFmtId="0" fontId="0" fillId="7" borderId="0" xfId="0" applyFill="1"/>
    <xf numFmtId="166" fontId="0" fillId="0" borderId="0" xfId="0" applyNumberFormat="1"/>
    <xf numFmtId="166" fontId="0" fillId="4" borderId="0" xfId="0" applyNumberFormat="1" applyFill="1"/>
    <xf numFmtId="166" fontId="0" fillId="0" borderId="0" xfId="1" applyNumberFormat="1" applyFont="1"/>
    <xf numFmtId="166" fontId="0" fillId="4" borderId="0" xfId="1" applyNumberFormat="1" applyFont="1" applyFill="1"/>
    <xf numFmtId="167" fontId="0" fillId="0" borderId="0" xfId="0" applyNumberFormat="1"/>
    <xf numFmtId="167" fontId="0" fillId="4" borderId="0" xfId="0" applyNumberFormat="1" applyFill="1"/>
    <xf numFmtId="0" fontId="0" fillId="0" borderId="11" xfId="0" applyBorder="1"/>
    <xf numFmtId="0" fontId="0" fillId="0" borderId="0" xfId="0" applyBorder="1"/>
    <xf numFmtId="0" fontId="0" fillId="0" borderId="4" xfId="0" applyBorder="1"/>
    <xf numFmtId="43" fontId="0" fillId="0" borderId="0" xfId="1" applyFont="1" applyBorder="1"/>
    <xf numFmtId="0" fontId="0" fillId="3" borderId="0" xfId="0" applyFill="1" applyBorder="1"/>
    <xf numFmtId="0" fontId="4" fillId="0" borderId="0" xfId="0" applyFont="1" applyBorder="1" applyAlignment="1">
      <alignment horizontal="center"/>
    </xf>
    <xf numFmtId="165" fontId="0" fillId="0" borderId="0" xfId="1" applyNumberFormat="1" applyFont="1" applyBorder="1"/>
    <xf numFmtId="165" fontId="5" fillId="0" borderId="0" xfId="1" applyNumberFormat="1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15" fillId="5" borderId="8" xfId="0" applyFont="1" applyFill="1" applyBorder="1"/>
    <xf numFmtId="0" fontId="15" fillId="5" borderId="9" xfId="0" applyFont="1" applyFill="1" applyBorder="1"/>
    <xf numFmtId="0" fontId="15" fillId="5" borderId="10" xfId="0" applyFont="1" applyFill="1" applyBorder="1"/>
    <xf numFmtId="0" fontId="0" fillId="0" borderId="0" xfId="0" applyFont="1" applyBorder="1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5" borderId="0" xfId="0" applyFont="1" applyFill="1" applyBorder="1"/>
    <xf numFmtId="43" fontId="2" fillId="5" borderId="0" xfId="1" applyNumberFormat="1" applyFont="1" applyFill="1" applyBorder="1"/>
    <xf numFmtId="43" fontId="2" fillId="5" borderId="0" xfId="1" applyFont="1" applyFill="1" applyBorder="1"/>
    <xf numFmtId="43" fontId="2" fillId="5" borderId="4" xfId="0" applyNumberFormat="1" applyFont="1" applyFill="1" applyBorder="1"/>
    <xf numFmtId="0" fontId="5" fillId="5" borderId="0" xfId="0" applyFont="1" applyFill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8" borderId="0" xfId="0" quotePrefix="1" applyFill="1" applyAlignment="1">
      <alignment horizontal="center"/>
    </xf>
    <xf numFmtId="0" fontId="5" fillId="8" borderId="0" xfId="0" applyFont="1" applyFill="1"/>
    <xf numFmtId="0" fontId="19" fillId="8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21" fillId="9" borderId="0" xfId="0" applyFont="1" applyFill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</cellXfs>
  <cellStyles count="20">
    <cellStyle name="Euro" xfId="3"/>
    <cellStyle name="Euro 2" xfId="4"/>
    <cellStyle name="Euro 3" xfId="5"/>
    <cellStyle name="Euro 4" xfId="6"/>
    <cellStyle name="Euro 5" xfId="7"/>
    <cellStyle name="Hipervínculo" xfId="2" builtinId="8"/>
    <cellStyle name="Hipervínculo 2" xfId="9"/>
    <cellStyle name="Hipervínculo 3" xfId="8"/>
    <cellStyle name="Millares" xfId="1" builtinId="3"/>
    <cellStyle name="Millares 2" xfId="10"/>
    <cellStyle name="Normal" xfId="0" builtinId="0"/>
    <cellStyle name="Normal 10" xfId="11"/>
    <cellStyle name="Normal 2" xfId="12"/>
    <cellStyle name="Normal 3" xfId="13"/>
    <cellStyle name="Normal 4" xfId="14"/>
    <cellStyle name="Normal 5" xfId="15"/>
    <cellStyle name="Normal 6" xfId="16"/>
    <cellStyle name="Normal 7" xfId="17"/>
    <cellStyle name="Normal 8" xfId="18"/>
    <cellStyle name="Normal 9" xfId="19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anda.com/lang/es/currency/converte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topLeftCell="B1" workbookViewId="0">
      <selection activeCell="N36" sqref="N36"/>
    </sheetView>
  </sheetViews>
  <sheetFormatPr baseColWidth="10" defaultRowHeight="15"/>
  <cols>
    <col min="2" max="2" width="16.7109375" customWidth="1"/>
    <col min="8" max="8" width="12.140625" customWidth="1"/>
    <col min="17" max="17" width="19.28515625" customWidth="1"/>
    <col min="19" max="19" width="4.7109375" customWidth="1"/>
    <col min="22" max="22" width="15.5703125" customWidth="1"/>
  </cols>
  <sheetData>
    <row r="1" spans="1:24" ht="15.75" thickBot="1"/>
    <row r="2" spans="1:24" ht="15.75">
      <c r="A2" s="61"/>
      <c r="B2" s="62" t="s">
        <v>125</v>
      </c>
      <c r="C2" s="62"/>
      <c r="D2" s="62"/>
      <c r="E2" s="62"/>
      <c r="F2" s="62"/>
      <c r="G2" s="62"/>
      <c r="H2" s="62"/>
      <c r="I2" s="62"/>
      <c r="J2" s="63"/>
    </row>
    <row r="3" spans="1:24">
      <c r="A3" s="47" t="s">
        <v>0</v>
      </c>
      <c r="B3" s="48"/>
      <c r="C3" s="48" t="s">
        <v>10</v>
      </c>
      <c r="D3" s="48"/>
      <c r="E3" s="48"/>
      <c r="F3" s="48"/>
      <c r="G3" s="48"/>
      <c r="H3" s="48"/>
      <c r="I3" s="48"/>
      <c r="J3" s="49"/>
    </row>
    <row r="4" spans="1:24">
      <c r="A4" s="47"/>
      <c r="B4" s="48"/>
      <c r="C4" s="48" t="s">
        <v>61</v>
      </c>
      <c r="D4" s="48"/>
      <c r="E4" s="48"/>
      <c r="F4" s="48"/>
      <c r="G4" s="48"/>
      <c r="H4" s="48"/>
      <c r="I4" s="48"/>
      <c r="J4" s="49"/>
    </row>
    <row r="5" spans="1:24">
      <c r="A5" s="47" t="s">
        <v>1</v>
      </c>
      <c r="B5" s="48" t="s">
        <v>2</v>
      </c>
      <c r="C5" s="48" t="s">
        <v>3</v>
      </c>
      <c r="D5" s="48" t="s">
        <v>4</v>
      </c>
      <c r="E5" s="48" t="s">
        <v>5</v>
      </c>
      <c r="F5" s="48" t="s">
        <v>6</v>
      </c>
      <c r="G5" s="48"/>
      <c r="H5" s="48"/>
      <c r="I5" s="48"/>
      <c r="J5" s="49" t="s">
        <v>36</v>
      </c>
    </row>
    <row r="6" spans="1:24">
      <c r="A6" s="47" t="s">
        <v>7</v>
      </c>
      <c r="B6" s="48">
        <v>1068</v>
      </c>
      <c r="C6" s="50">
        <v>187.59</v>
      </c>
      <c r="D6" s="48">
        <v>91.02</v>
      </c>
      <c r="E6" s="48">
        <v>0</v>
      </c>
      <c r="F6" s="48">
        <v>674.42</v>
      </c>
      <c r="G6" s="48" t="s">
        <v>8</v>
      </c>
      <c r="H6" s="51" t="s">
        <v>134</v>
      </c>
      <c r="I6" s="48" t="s">
        <v>11</v>
      </c>
      <c r="J6" s="75">
        <f>C6/2</f>
        <v>93.795000000000002</v>
      </c>
    </row>
    <row r="7" spans="1:24">
      <c r="A7" s="47"/>
      <c r="B7" s="48"/>
      <c r="C7" s="50">
        <v>181.5</v>
      </c>
      <c r="D7" s="48"/>
      <c r="E7" s="48"/>
      <c r="F7" s="48"/>
      <c r="G7" s="48" t="s">
        <v>8</v>
      </c>
      <c r="H7" s="51" t="s">
        <v>135</v>
      </c>
      <c r="I7" s="48" t="s">
        <v>11</v>
      </c>
      <c r="J7" s="75">
        <f>C7/2</f>
        <v>90.75</v>
      </c>
    </row>
    <row r="8" spans="1:24">
      <c r="A8" s="47"/>
      <c r="B8" s="48"/>
      <c r="C8" s="50">
        <v>174</v>
      </c>
      <c r="D8" s="48"/>
      <c r="E8" s="48"/>
      <c r="F8" s="48"/>
      <c r="G8" s="48" t="s">
        <v>9</v>
      </c>
      <c r="H8" s="51" t="s">
        <v>136</v>
      </c>
      <c r="I8" s="48" t="s">
        <v>12</v>
      </c>
      <c r="J8" s="75">
        <f>C8/2</f>
        <v>87</v>
      </c>
    </row>
    <row r="9" spans="1:24">
      <c r="A9" s="47"/>
      <c r="B9" s="48"/>
      <c r="C9" s="48"/>
      <c r="D9" s="48"/>
      <c r="E9" s="48"/>
      <c r="F9" s="48"/>
      <c r="G9" s="48"/>
      <c r="H9" s="48"/>
      <c r="I9" s="48"/>
      <c r="J9" s="49"/>
    </row>
    <row r="10" spans="1:24">
      <c r="A10" s="47"/>
      <c r="B10" s="48"/>
      <c r="C10" s="48"/>
      <c r="D10" s="48"/>
      <c r="E10" s="48"/>
      <c r="F10" s="48"/>
      <c r="G10" s="48"/>
      <c r="H10" s="48"/>
      <c r="I10" s="48"/>
      <c r="J10" s="49"/>
    </row>
    <row r="11" spans="1:24">
      <c r="A11" s="47" t="s">
        <v>19</v>
      </c>
      <c r="B11" s="48" t="s">
        <v>20</v>
      </c>
      <c r="C11" s="48"/>
      <c r="D11" s="48"/>
      <c r="E11" s="48"/>
      <c r="F11" s="48"/>
      <c r="G11" s="48"/>
      <c r="H11" s="48"/>
      <c r="I11" s="48"/>
      <c r="J11" s="49"/>
    </row>
    <row r="12" spans="1:24" ht="15.75" thickBot="1">
      <c r="A12" s="47"/>
      <c r="B12" s="48"/>
      <c r="C12" s="48"/>
      <c r="D12" s="48"/>
      <c r="E12" s="48"/>
      <c r="F12" s="48"/>
      <c r="G12" s="48"/>
      <c r="H12" s="48"/>
      <c r="I12" s="48"/>
      <c r="J12" s="49"/>
    </row>
    <row r="13" spans="1:24" ht="29.25" customHeight="1" thickBot="1">
      <c r="A13" s="47"/>
      <c r="B13" s="85" t="s">
        <v>13</v>
      </c>
      <c r="C13" s="86"/>
      <c r="D13" s="52"/>
      <c r="E13" s="85" t="s">
        <v>16</v>
      </c>
      <c r="F13" s="86"/>
      <c r="G13" s="64"/>
      <c r="H13" s="64"/>
      <c r="I13" s="48"/>
      <c r="J13" s="49"/>
    </row>
    <row r="14" spans="1:24" ht="31.5">
      <c r="A14" s="47"/>
      <c r="B14" s="65" t="s">
        <v>14</v>
      </c>
      <c r="C14" s="66" t="s">
        <v>15</v>
      </c>
      <c r="D14" s="64"/>
      <c r="E14" s="65" t="s">
        <v>14</v>
      </c>
      <c r="F14" s="66" t="s">
        <v>17</v>
      </c>
      <c r="G14" s="64"/>
      <c r="H14" s="66" t="s">
        <v>123</v>
      </c>
      <c r="I14" s="48"/>
      <c r="J14" s="49"/>
    </row>
    <row r="15" spans="1:24" ht="32.25" thickBot="1">
      <c r="A15" s="47"/>
      <c r="B15" s="67" t="s">
        <v>126</v>
      </c>
      <c r="C15" s="68" t="s">
        <v>21</v>
      </c>
      <c r="D15" s="64"/>
      <c r="E15" s="67" t="s">
        <v>126</v>
      </c>
      <c r="F15" s="68" t="s">
        <v>127</v>
      </c>
      <c r="G15" s="64"/>
      <c r="H15" s="69" t="s">
        <v>21</v>
      </c>
      <c r="I15" s="48"/>
      <c r="J15" s="49"/>
      <c r="L15" s="82"/>
      <c r="M15" s="83"/>
      <c r="N15" s="84"/>
      <c r="O15" s="84" t="s">
        <v>131</v>
      </c>
      <c r="P15" s="82"/>
      <c r="Q15" s="82"/>
      <c r="R15" s="82"/>
    </row>
    <row r="16" spans="1:24" ht="16.5" thickBot="1">
      <c r="A16" s="47"/>
      <c r="B16" s="70">
        <v>2100</v>
      </c>
      <c r="C16" s="71">
        <v>24.57</v>
      </c>
      <c r="D16" s="64"/>
      <c r="E16" s="70">
        <v>2100</v>
      </c>
      <c r="F16" s="71">
        <v>1</v>
      </c>
      <c r="G16" s="48"/>
      <c r="H16" s="53">
        <f>B16*C16</f>
        <v>51597</v>
      </c>
      <c r="I16" s="48"/>
      <c r="J16" s="49"/>
      <c r="M16" s="23" t="s">
        <v>54</v>
      </c>
      <c r="N16" s="23" t="s">
        <v>121</v>
      </c>
      <c r="O16" s="23" t="s">
        <v>37</v>
      </c>
      <c r="P16" s="23" t="s">
        <v>15</v>
      </c>
      <c r="Q16" s="23" t="s">
        <v>109</v>
      </c>
      <c r="R16" s="23" t="s">
        <v>110</v>
      </c>
      <c r="T16" s="17" t="s">
        <v>57</v>
      </c>
      <c r="U16" s="17"/>
      <c r="V16" s="17"/>
      <c r="W16" s="17" t="s">
        <v>56</v>
      </c>
      <c r="X16" s="17"/>
    </row>
    <row r="17" spans="1:24" ht="16.5" thickBot="1">
      <c r="A17" s="47"/>
      <c r="B17" s="70">
        <v>3100</v>
      </c>
      <c r="C17" s="71">
        <v>35.979999999999997</v>
      </c>
      <c r="D17" s="64"/>
      <c r="E17" s="70">
        <v>3100</v>
      </c>
      <c r="F17" s="71" t="s">
        <v>18</v>
      </c>
      <c r="G17" s="48"/>
      <c r="H17" s="53">
        <f>B17*C17</f>
        <v>111537.99999999999</v>
      </c>
      <c r="I17" s="48"/>
      <c r="J17" s="49"/>
      <c r="L17" s="3"/>
      <c r="M17">
        <v>2000</v>
      </c>
      <c r="N17" s="41">
        <f>U17*W17</f>
        <v>3.44652</v>
      </c>
      <c r="O17" s="45">
        <v>61.864315221164084</v>
      </c>
      <c r="P17" s="4">
        <f>N17*$O$31/O17</f>
        <v>6.6837034670440447</v>
      </c>
      <c r="Q17" t="s">
        <v>40</v>
      </c>
      <c r="R17" t="s">
        <v>53</v>
      </c>
      <c r="U17" s="40">
        <v>746</v>
      </c>
      <c r="V17" t="s">
        <v>59</v>
      </c>
      <c r="W17">
        <v>4.62E-3</v>
      </c>
      <c r="X17" s="41">
        <f>U17*W17</f>
        <v>3.44652</v>
      </c>
    </row>
    <row r="18" spans="1:24" ht="16.5" thickBot="1">
      <c r="A18" s="47"/>
      <c r="B18" s="70">
        <v>4500</v>
      </c>
      <c r="C18" s="71">
        <v>49.58</v>
      </c>
      <c r="D18" s="64"/>
      <c r="E18" s="70">
        <v>4500</v>
      </c>
      <c r="F18" s="71">
        <v>0.51</v>
      </c>
      <c r="G18" s="48"/>
      <c r="H18" s="53">
        <f t="shared" ref="H18" si="0">B18*C18</f>
        <v>223110</v>
      </c>
      <c r="I18" s="48"/>
      <c r="J18" s="49"/>
      <c r="L18" s="3"/>
      <c r="M18" s="6">
        <v>2003</v>
      </c>
      <c r="N18" s="42">
        <f>H20</f>
        <v>39.819072164948452</v>
      </c>
      <c r="O18" s="46">
        <v>72.256625268079503</v>
      </c>
      <c r="P18" s="7">
        <f t="shared" ref="P18:P29" si="1">N18*$O$31/O18</f>
        <v>66.11348381180791</v>
      </c>
      <c r="Q18" s="6" t="s">
        <v>44</v>
      </c>
      <c r="R18" s="6" t="s">
        <v>48</v>
      </c>
      <c r="U18" s="40"/>
      <c r="X18" s="41"/>
    </row>
    <row r="19" spans="1:24">
      <c r="A19" s="47"/>
      <c r="B19" s="48"/>
      <c r="C19" s="48"/>
      <c r="D19" s="48"/>
      <c r="E19" s="48"/>
      <c r="F19" s="48"/>
      <c r="G19" s="48" t="s">
        <v>124</v>
      </c>
      <c r="H19" s="54">
        <f>SUM(H16:H18)</f>
        <v>386245</v>
      </c>
      <c r="I19" s="48"/>
      <c r="J19" s="49"/>
      <c r="L19" s="3"/>
      <c r="M19">
        <v>2006</v>
      </c>
      <c r="N19" s="41">
        <v>7.835</v>
      </c>
      <c r="O19" s="45">
        <v>81.516025000057496</v>
      </c>
      <c r="P19" s="4">
        <f t="shared" si="1"/>
        <v>11.531149095113554</v>
      </c>
      <c r="Q19" t="s">
        <v>39</v>
      </c>
      <c r="R19" t="s">
        <v>52</v>
      </c>
      <c r="T19">
        <v>73.09</v>
      </c>
      <c r="U19" s="40">
        <v>1470</v>
      </c>
      <c r="V19" t="s">
        <v>58</v>
      </c>
      <c r="W19">
        <v>5.3299999999999997E-3</v>
      </c>
      <c r="X19" s="41">
        <f>U19*W19</f>
        <v>7.8350999999999997</v>
      </c>
    </row>
    <row r="20" spans="1:24">
      <c r="A20" s="47"/>
      <c r="B20" s="48"/>
      <c r="C20" s="48"/>
      <c r="D20" s="48"/>
      <c r="E20" s="48"/>
      <c r="F20" s="48"/>
      <c r="G20" s="72" t="s">
        <v>35</v>
      </c>
      <c r="H20" s="73">
        <f>H19/SUM(B16:B18)</f>
        <v>39.819072164948452</v>
      </c>
      <c r="I20" s="51" t="s">
        <v>132</v>
      </c>
      <c r="J20" s="49"/>
      <c r="L20" s="3"/>
      <c r="M20">
        <v>2006</v>
      </c>
      <c r="N20" s="43">
        <f>U20*W20/12</f>
        <v>42.751813625000004</v>
      </c>
      <c r="O20" s="45">
        <v>81.516025000057496</v>
      </c>
      <c r="P20" s="4">
        <f t="shared" si="1"/>
        <v>62.919915379244678</v>
      </c>
      <c r="Q20" t="s">
        <v>62</v>
      </c>
      <c r="R20" t="s">
        <v>49</v>
      </c>
      <c r="T20">
        <v>67.2</v>
      </c>
      <c r="U20" s="40">
        <f>(31.79+39.42)/2</f>
        <v>35.605000000000004</v>
      </c>
      <c r="V20" t="s">
        <v>55</v>
      </c>
      <c r="W20">
        <v>14.4087</v>
      </c>
      <c r="X20" s="41">
        <f t="shared" ref="X20:X29" si="2">U20*W20</f>
        <v>513.02176350000002</v>
      </c>
    </row>
    <row r="21" spans="1:24">
      <c r="A21" s="47"/>
      <c r="B21" s="48"/>
      <c r="C21" s="48"/>
      <c r="D21" s="48"/>
      <c r="E21" s="48"/>
      <c r="F21" s="48"/>
      <c r="G21" s="48"/>
      <c r="H21" s="48"/>
      <c r="I21" s="48"/>
      <c r="J21" s="49"/>
      <c r="L21" s="3"/>
      <c r="M21" s="6">
        <v>2007</v>
      </c>
      <c r="N21" s="44">
        <v>20</v>
      </c>
      <c r="O21" s="46">
        <v>84.749643135443165</v>
      </c>
      <c r="P21" s="7">
        <f t="shared" si="1"/>
        <v>28.311879294075801</v>
      </c>
      <c r="Q21" s="6" t="s">
        <v>38</v>
      </c>
      <c r="R21" s="6" t="s">
        <v>48</v>
      </c>
      <c r="U21" s="40"/>
      <c r="X21" s="41"/>
    </row>
    <row r="22" spans="1:24">
      <c r="A22" s="47"/>
      <c r="B22" s="48"/>
      <c r="C22" s="48"/>
      <c r="D22" s="48"/>
      <c r="E22" s="48"/>
      <c r="F22" s="48"/>
      <c r="G22" s="48"/>
      <c r="H22" s="48"/>
      <c r="I22" s="48"/>
      <c r="J22" s="49"/>
      <c r="M22">
        <v>2007</v>
      </c>
      <c r="N22" s="41">
        <f>X22</f>
        <v>14.229799999999999</v>
      </c>
      <c r="O22" s="45">
        <v>84.749643135443165</v>
      </c>
      <c r="P22" s="4">
        <f t="shared" si="1"/>
        <v>20.143618998941992</v>
      </c>
      <c r="Q22" t="s">
        <v>51</v>
      </c>
      <c r="R22" t="s">
        <v>50</v>
      </c>
      <c r="U22" s="40">
        <v>4.21</v>
      </c>
      <c r="V22" t="s">
        <v>60</v>
      </c>
      <c r="W22">
        <v>3.38</v>
      </c>
      <c r="X22" s="41">
        <f t="shared" si="2"/>
        <v>14.229799999999999</v>
      </c>
    </row>
    <row r="23" spans="1:24">
      <c r="A23" s="47" t="s">
        <v>33</v>
      </c>
      <c r="B23" s="48"/>
      <c r="C23" s="48"/>
      <c r="D23" s="48"/>
      <c r="E23" s="48"/>
      <c r="F23" s="48"/>
      <c r="G23" s="48"/>
      <c r="H23" s="48"/>
      <c r="I23" s="48"/>
      <c r="J23" s="49"/>
      <c r="L23" s="3"/>
      <c r="M23">
        <v>2007</v>
      </c>
      <c r="N23" s="43">
        <f>U23*W23/12</f>
        <v>136.18916666666667</v>
      </c>
      <c r="O23" s="45">
        <v>84.749643135443165</v>
      </c>
      <c r="P23" s="4">
        <f t="shared" si="1"/>
        <v>192.78856239137193</v>
      </c>
      <c r="Q23" t="s">
        <v>43</v>
      </c>
      <c r="R23" t="s">
        <v>49</v>
      </c>
      <c r="T23">
        <v>80.2</v>
      </c>
      <c r="U23" s="40">
        <v>110</v>
      </c>
      <c r="V23" t="s">
        <v>55</v>
      </c>
      <c r="W23">
        <v>14.856999999999999</v>
      </c>
      <c r="X23" s="41">
        <f t="shared" si="2"/>
        <v>1634.27</v>
      </c>
    </row>
    <row r="24" spans="1:24">
      <c r="A24" s="47"/>
      <c r="B24" s="48"/>
      <c r="C24" s="48"/>
      <c r="D24" s="48"/>
      <c r="E24" s="48"/>
      <c r="F24" s="48"/>
      <c r="G24" s="48"/>
      <c r="H24" s="48"/>
      <c r="I24" s="48"/>
      <c r="J24" s="49"/>
      <c r="L24" s="3"/>
      <c r="M24">
        <v>2007</v>
      </c>
      <c r="N24" s="41">
        <f>U24*W24/12</f>
        <v>2.9781150000000003</v>
      </c>
      <c r="O24" s="45">
        <v>84.749643135443165</v>
      </c>
      <c r="P24" s="4">
        <f t="shared" si="1"/>
        <v>4.2158016201938286</v>
      </c>
      <c r="Q24" t="s">
        <v>64</v>
      </c>
      <c r="R24" t="s">
        <v>52</v>
      </c>
      <c r="T24">
        <v>50</v>
      </c>
      <c r="U24" s="40">
        <f>(5613+8625)/2</f>
        <v>7119</v>
      </c>
      <c r="V24" t="s">
        <v>122</v>
      </c>
      <c r="W24">
        <v>5.0200000000000002E-3</v>
      </c>
      <c r="X24" s="41">
        <f t="shared" si="2"/>
        <v>35.737380000000002</v>
      </c>
    </row>
    <row r="25" spans="1:24">
      <c r="A25" s="47"/>
      <c r="B25" s="55" t="s">
        <v>30</v>
      </c>
      <c r="C25" s="56" t="s">
        <v>31</v>
      </c>
      <c r="D25" s="48"/>
      <c r="E25" s="56" t="s">
        <v>32</v>
      </c>
      <c r="F25" s="48"/>
      <c r="G25" s="48"/>
      <c r="H25" s="57" t="s">
        <v>34</v>
      </c>
      <c r="I25" s="48"/>
      <c r="J25" s="49"/>
      <c r="L25" s="3"/>
      <c r="M25" s="6">
        <v>2009</v>
      </c>
      <c r="N25" s="42">
        <f>J7</f>
        <v>90.75</v>
      </c>
      <c r="O25" s="46">
        <v>93.812623695806494</v>
      </c>
      <c r="P25" s="7">
        <f t="shared" si="1"/>
        <v>116.05448588457585</v>
      </c>
      <c r="Q25" s="6" t="s">
        <v>11</v>
      </c>
      <c r="R25" s="6" t="s">
        <v>48</v>
      </c>
      <c r="U25" s="40"/>
      <c r="X25" s="41"/>
    </row>
    <row r="26" spans="1:24">
      <c r="A26" s="47"/>
      <c r="B26" s="48" t="s">
        <v>22</v>
      </c>
      <c r="C26" s="48">
        <v>17</v>
      </c>
      <c r="D26" s="48">
        <v>15</v>
      </c>
      <c r="E26" s="48">
        <v>14.53</v>
      </c>
      <c r="F26" s="48">
        <f>D26*E26</f>
        <v>217.95</v>
      </c>
      <c r="G26" s="48"/>
      <c r="H26" s="48">
        <f>C26*D26</f>
        <v>255</v>
      </c>
      <c r="I26" s="48"/>
      <c r="J26" s="49"/>
      <c r="L26" s="3"/>
      <c r="M26">
        <v>2009</v>
      </c>
      <c r="N26" s="43">
        <f>U26*W26</f>
        <v>41.014727999999998</v>
      </c>
      <c r="O26" s="45">
        <v>93.812623695806494</v>
      </c>
      <c r="P26" s="4">
        <f t="shared" si="1"/>
        <v>52.451164426839867</v>
      </c>
      <c r="Q26" t="s">
        <v>63</v>
      </c>
      <c r="R26" t="s">
        <v>50</v>
      </c>
      <c r="U26" s="40">
        <v>9.51</v>
      </c>
      <c r="V26" t="s">
        <v>65</v>
      </c>
      <c r="W26">
        <v>4.3128000000000002</v>
      </c>
      <c r="X26" s="41">
        <f t="shared" si="2"/>
        <v>41.014727999999998</v>
      </c>
    </row>
    <row r="27" spans="1:24">
      <c r="A27" s="47"/>
      <c r="B27" s="48" t="s">
        <v>23</v>
      </c>
      <c r="C27" s="48">
        <v>20</v>
      </c>
      <c r="D27" s="48">
        <v>30</v>
      </c>
      <c r="E27" s="48">
        <v>17.09</v>
      </c>
      <c r="F27" s="48">
        <f t="shared" ref="F27:F32" si="3">D27*E27</f>
        <v>512.70000000000005</v>
      </c>
      <c r="G27" s="48"/>
      <c r="H27" s="48">
        <f t="shared" ref="H27:H32" si="4">C27*D27</f>
        <v>600</v>
      </c>
      <c r="I27" s="48"/>
      <c r="J27" s="49"/>
      <c r="M27" s="6">
        <v>2010</v>
      </c>
      <c r="N27" s="42">
        <f>J8</f>
        <v>87</v>
      </c>
      <c r="O27" s="46">
        <v>97.712159139755329</v>
      </c>
      <c r="P27" s="7">
        <f t="shared" si="1"/>
        <v>106.81868399890254</v>
      </c>
      <c r="Q27" s="6" t="s">
        <v>12</v>
      </c>
      <c r="R27" s="6" t="s">
        <v>48</v>
      </c>
      <c r="U27" s="40"/>
      <c r="X27" s="41"/>
    </row>
    <row r="28" spans="1:24">
      <c r="A28" s="47"/>
      <c r="B28" s="48" t="s">
        <v>24</v>
      </c>
      <c r="C28" s="48">
        <v>33</v>
      </c>
      <c r="D28" s="48">
        <v>50</v>
      </c>
      <c r="E28" s="48">
        <v>28.21</v>
      </c>
      <c r="F28" s="48">
        <f t="shared" si="3"/>
        <v>1410.5</v>
      </c>
      <c r="G28" s="48"/>
      <c r="H28" s="48">
        <f t="shared" si="4"/>
        <v>1650</v>
      </c>
      <c r="I28" s="48"/>
      <c r="J28" s="49"/>
      <c r="L28" s="3"/>
      <c r="M28" s="6">
        <v>2011</v>
      </c>
      <c r="N28" s="42">
        <f>H34</f>
        <v>62.350427350427353</v>
      </c>
      <c r="O28" s="46">
        <v>101.04154166666667</v>
      </c>
      <c r="P28" s="7">
        <f t="shared" si="1"/>
        <v>74.031415120369047</v>
      </c>
      <c r="Q28" s="6" t="s">
        <v>47</v>
      </c>
      <c r="R28" s="6" t="s">
        <v>48</v>
      </c>
      <c r="U28" s="40"/>
      <c r="X28" s="41"/>
    </row>
    <row r="29" spans="1:24">
      <c r="A29" s="47"/>
      <c r="B29" s="48" t="s">
        <v>25</v>
      </c>
      <c r="C29" s="48">
        <v>8</v>
      </c>
      <c r="D29" s="48">
        <v>70</v>
      </c>
      <c r="E29" s="48">
        <v>6.84</v>
      </c>
      <c r="F29" s="48">
        <f t="shared" si="3"/>
        <v>478.8</v>
      </c>
      <c r="G29" s="48"/>
      <c r="H29" s="48">
        <f t="shared" si="4"/>
        <v>560</v>
      </c>
      <c r="I29" s="48"/>
      <c r="J29" s="49"/>
      <c r="L29" s="3"/>
      <c r="M29">
        <v>2013</v>
      </c>
      <c r="N29" s="41">
        <f>X29</f>
        <v>40.513999999999996</v>
      </c>
      <c r="O29" s="45">
        <v>109.20008333333334</v>
      </c>
      <c r="P29" s="4">
        <f t="shared" si="1"/>
        <v>44.510116858885176</v>
      </c>
      <c r="Q29" t="s">
        <v>45</v>
      </c>
      <c r="R29" t="s">
        <v>46</v>
      </c>
      <c r="U29" s="40">
        <v>17.239999999999998</v>
      </c>
      <c r="V29" t="s">
        <v>59</v>
      </c>
      <c r="W29">
        <v>2.35</v>
      </c>
      <c r="X29" s="41">
        <f t="shared" si="2"/>
        <v>40.513999999999996</v>
      </c>
    </row>
    <row r="30" spans="1:24">
      <c r="A30" s="47"/>
      <c r="B30" s="48" t="s">
        <v>26</v>
      </c>
      <c r="C30" s="48">
        <v>20</v>
      </c>
      <c r="D30" s="48">
        <v>90</v>
      </c>
      <c r="E30" s="48">
        <v>17.09</v>
      </c>
      <c r="F30" s="48">
        <f t="shared" si="3"/>
        <v>1538.1</v>
      </c>
      <c r="G30" s="48"/>
      <c r="H30" s="48">
        <f t="shared" si="4"/>
        <v>1800</v>
      </c>
      <c r="I30" s="48"/>
      <c r="J30" s="49"/>
    </row>
    <row r="31" spans="1:24">
      <c r="A31" s="47"/>
      <c r="B31" s="48" t="s">
        <v>27</v>
      </c>
      <c r="C31" s="48">
        <v>2</v>
      </c>
      <c r="D31" s="48">
        <v>110</v>
      </c>
      <c r="E31" s="48">
        <v>1.71</v>
      </c>
      <c r="F31" s="48">
        <f t="shared" si="3"/>
        <v>188.1</v>
      </c>
      <c r="G31" s="48"/>
      <c r="H31" s="48">
        <f t="shared" si="4"/>
        <v>220</v>
      </c>
      <c r="I31" s="48"/>
      <c r="J31" s="49"/>
      <c r="M31" s="19">
        <v>2016</v>
      </c>
      <c r="N31" s="19"/>
      <c r="O31" s="19">
        <v>119.97108333333334</v>
      </c>
      <c r="P31" s="21">
        <f>AVERAGE(P17:P29)</f>
        <v>60.505690795951253</v>
      </c>
      <c r="Q31" s="19" t="s">
        <v>137</v>
      </c>
      <c r="R31" s="19"/>
    </row>
    <row r="32" spans="1:24">
      <c r="A32" s="47"/>
      <c r="B32" s="48" t="s">
        <v>28</v>
      </c>
      <c r="C32" s="48">
        <v>17</v>
      </c>
      <c r="D32" s="48">
        <v>130</v>
      </c>
      <c r="E32" s="48">
        <v>14.53</v>
      </c>
      <c r="F32" s="48">
        <f t="shared" si="3"/>
        <v>1888.8999999999999</v>
      </c>
      <c r="G32" s="48"/>
      <c r="H32" s="48">
        <f t="shared" si="4"/>
        <v>2210</v>
      </c>
      <c r="I32" s="48"/>
      <c r="J32" s="49"/>
      <c r="M32" t="s">
        <v>41</v>
      </c>
      <c r="O32" s="5" t="s">
        <v>42</v>
      </c>
    </row>
    <row r="33" spans="1:10">
      <c r="A33" s="47"/>
      <c r="B33" s="48"/>
      <c r="C33" s="48"/>
      <c r="D33" s="48"/>
      <c r="E33" s="48"/>
      <c r="F33" s="48"/>
      <c r="G33" s="48"/>
      <c r="H33" s="48">
        <f>SUM(H26:H32)</f>
        <v>7295</v>
      </c>
      <c r="I33" s="48"/>
      <c r="J33" s="49"/>
    </row>
    <row r="34" spans="1:10">
      <c r="A34" s="47"/>
      <c r="B34" s="48" t="s">
        <v>29</v>
      </c>
      <c r="C34" s="48">
        <f>SUM(C26:C33)</f>
        <v>117</v>
      </c>
      <c r="D34" s="48"/>
      <c r="E34" s="48">
        <f>SUM(E26:E33)</f>
        <v>100</v>
      </c>
      <c r="F34" s="48">
        <f>SUM(F26:F33)</f>
        <v>6235.05</v>
      </c>
      <c r="G34" s="48">
        <f>F34/E34</f>
        <v>62.350500000000004</v>
      </c>
      <c r="H34" s="74">
        <f>H33/C34</f>
        <v>62.350427350427353</v>
      </c>
      <c r="I34" s="51" t="s">
        <v>133</v>
      </c>
      <c r="J34" s="49"/>
    </row>
    <row r="35" spans="1:10">
      <c r="A35" s="47"/>
      <c r="B35" s="48">
        <v>117</v>
      </c>
      <c r="C35" s="48"/>
      <c r="D35" s="48"/>
      <c r="E35" s="48"/>
      <c r="F35" s="48"/>
      <c r="G35" s="48"/>
      <c r="H35" s="48"/>
      <c r="I35" s="48"/>
      <c r="J35" s="49"/>
    </row>
    <row r="36" spans="1:10">
      <c r="A36" s="47"/>
      <c r="B36" s="48">
        <v>100</v>
      </c>
      <c r="C36" s="48"/>
      <c r="D36" s="48"/>
      <c r="E36" s="48"/>
      <c r="F36" s="48"/>
      <c r="G36" s="48"/>
      <c r="H36" s="48">
        <f>SUM(H26:H30)/SUM(C26:C30)</f>
        <v>49.642857142857146</v>
      </c>
      <c r="I36" s="48"/>
      <c r="J36" s="49"/>
    </row>
    <row r="37" spans="1:10" ht="15.75" thickBot="1">
      <c r="A37" s="58"/>
      <c r="B37" s="59"/>
      <c r="C37" s="59"/>
      <c r="D37" s="59"/>
      <c r="E37" s="59"/>
      <c r="F37" s="59"/>
      <c r="G37" s="59"/>
      <c r="H37" s="59"/>
      <c r="I37" s="59"/>
      <c r="J37" s="60"/>
    </row>
  </sheetData>
  <mergeCells count="2">
    <mergeCell ref="B13:C13"/>
    <mergeCell ref="E13:F13"/>
  </mergeCells>
  <hyperlinks>
    <hyperlink ref="O32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6"/>
  <sheetViews>
    <sheetView topLeftCell="A19" workbookViewId="0">
      <selection activeCell="C51" sqref="C51"/>
    </sheetView>
  </sheetViews>
  <sheetFormatPr baseColWidth="10" defaultRowHeight="15"/>
  <cols>
    <col min="3" max="3" width="14.140625" bestFit="1" customWidth="1"/>
    <col min="4" max="4" width="17.85546875" bestFit="1" customWidth="1"/>
    <col min="6" max="6" width="20.140625" customWidth="1"/>
    <col min="9" max="9" width="18.85546875" bestFit="1" customWidth="1"/>
  </cols>
  <sheetData>
    <row r="4" spans="1:6">
      <c r="A4" t="s">
        <v>95</v>
      </c>
      <c r="B4" s="9">
        <v>8169</v>
      </c>
      <c r="C4" s="9" t="s">
        <v>66</v>
      </c>
      <c r="D4" s="9" t="s">
        <v>67</v>
      </c>
      <c r="F4" s="1">
        <f>B4/3</f>
        <v>2723</v>
      </c>
    </row>
    <row r="5" spans="1:6">
      <c r="A5" s="8" t="s">
        <v>68</v>
      </c>
      <c r="B5" s="9">
        <v>13830</v>
      </c>
      <c r="C5" s="9" t="s">
        <v>69</v>
      </c>
      <c r="D5" s="9" t="s">
        <v>70</v>
      </c>
      <c r="F5" s="1">
        <f t="shared" ref="F5:F13" si="0">B5/3</f>
        <v>4610</v>
      </c>
    </row>
    <row r="6" spans="1:6">
      <c r="A6" s="8" t="s">
        <v>71</v>
      </c>
      <c r="B6" s="9">
        <v>18387</v>
      </c>
      <c r="C6" s="9" t="s">
        <v>72</v>
      </c>
      <c r="D6" s="9" t="s">
        <v>73</v>
      </c>
      <c r="F6" s="1">
        <f t="shared" si="0"/>
        <v>6129</v>
      </c>
    </row>
    <row r="7" spans="1:6">
      <c r="A7" s="8" t="s">
        <v>74</v>
      </c>
      <c r="B7" s="9">
        <v>23147</v>
      </c>
      <c r="C7" s="9" t="s">
        <v>75</v>
      </c>
      <c r="D7" s="9" t="s">
        <v>76</v>
      </c>
      <c r="F7" s="1">
        <f t="shared" si="0"/>
        <v>7715.666666666667</v>
      </c>
    </row>
    <row r="8" spans="1:6">
      <c r="A8" s="8" t="s">
        <v>77</v>
      </c>
      <c r="B8" s="9">
        <v>28478</v>
      </c>
      <c r="C8" s="9" t="s">
        <v>78</v>
      </c>
      <c r="D8" s="9" t="s">
        <v>79</v>
      </c>
      <c r="F8" s="1">
        <f t="shared" si="0"/>
        <v>9492.6666666666661</v>
      </c>
    </row>
    <row r="9" spans="1:6">
      <c r="A9" s="8" t="s">
        <v>80</v>
      </c>
      <c r="B9" s="9">
        <v>34866</v>
      </c>
      <c r="C9" s="9" t="s">
        <v>81</v>
      </c>
      <c r="D9" s="9" t="s">
        <v>82</v>
      </c>
      <c r="F9" s="1">
        <f t="shared" si="0"/>
        <v>11622</v>
      </c>
    </row>
    <row r="10" spans="1:6">
      <c r="A10" s="8" t="s">
        <v>83</v>
      </c>
      <c r="B10" s="9">
        <v>43030</v>
      </c>
      <c r="C10" s="9" t="s">
        <v>84</v>
      </c>
      <c r="D10" s="9" t="s">
        <v>85</v>
      </c>
      <c r="F10" s="1">
        <f t="shared" si="0"/>
        <v>14343.333333333334</v>
      </c>
    </row>
    <row r="11" spans="1:6">
      <c r="A11" s="8" t="s">
        <v>86</v>
      </c>
      <c r="B11" s="9">
        <v>54139</v>
      </c>
      <c r="C11" s="9" t="s">
        <v>87</v>
      </c>
      <c r="D11" s="9" t="s">
        <v>88</v>
      </c>
      <c r="F11" s="1">
        <f t="shared" si="0"/>
        <v>18046.333333333332</v>
      </c>
    </row>
    <row r="12" spans="1:6">
      <c r="A12" s="8" t="s">
        <v>89</v>
      </c>
      <c r="B12" s="9">
        <v>73252</v>
      </c>
      <c r="C12" s="9" t="s">
        <v>90</v>
      </c>
      <c r="D12" s="9" t="s">
        <v>91</v>
      </c>
      <c r="F12" s="1">
        <f t="shared" si="0"/>
        <v>24417.333333333332</v>
      </c>
    </row>
    <row r="13" spans="1:6">
      <c r="A13" s="8" t="s">
        <v>92</v>
      </c>
      <c r="B13" s="9">
        <v>161568</v>
      </c>
      <c r="C13" s="9" t="s">
        <v>93</v>
      </c>
      <c r="D13" s="9" t="s">
        <v>94</v>
      </c>
      <c r="F13" s="1">
        <f t="shared" si="0"/>
        <v>53856</v>
      </c>
    </row>
    <row r="14" spans="1:6">
      <c r="A14" s="8"/>
      <c r="B14" s="10">
        <f>SUM(B4:B12)</f>
        <v>297298</v>
      </c>
    </row>
    <row r="15" spans="1:6">
      <c r="A15" s="8"/>
    </row>
    <row r="17" spans="1:7">
      <c r="A17" s="8"/>
      <c r="B17" s="8"/>
      <c r="C17" s="8"/>
      <c r="D17" s="8"/>
    </row>
    <row r="18" spans="1:7">
      <c r="A18" s="8"/>
      <c r="B18" s="8"/>
      <c r="C18" s="8"/>
      <c r="D18" s="8"/>
    </row>
    <row r="19" spans="1:7">
      <c r="A19" s="8"/>
      <c r="B19" s="8"/>
      <c r="C19" s="8"/>
      <c r="D19" s="8"/>
    </row>
    <row r="21" spans="1:7">
      <c r="A21" s="80" t="s">
        <v>130</v>
      </c>
      <c r="B21" s="81"/>
      <c r="C21" s="81"/>
      <c r="D21" s="81"/>
      <c r="E21" s="80"/>
      <c r="F21" s="80"/>
      <c r="G21" s="80"/>
    </row>
    <row r="22" spans="1:7">
      <c r="A22" s="2" t="s">
        <v>118</v>
      </c>
      <c r="B22" s="31" t="s">
        <v>117</v>
      </c>
    </row>
    <row r="23" spans="1:7">
      <c r="A23" s="6" t="s">
        <v>116</v>
      </c>
      <c r="B23" s="6"/>
      <c r="C23" s="6"/>
      <c r="D23" s="12" t="s">
        <v>104</v>
      </c>
      <c r="E23" s="6">
        <v>2015</v>
      </c>
    </row>
    <row r="24" spans="1:7">
      <c r="A24" s="6"/>
      <c r="B24" s="6"/>
      <c r="C24" s="6" t="s">
        <v>96</v>
      </c>
      <c r="D24" s="6"/>
      <c r="E24" s="6"/>
      <c r="F24" s="6"/>
      <c r="G24" s="6"/>
    </row>
    <row r="25" spans="1:7">
      <c r="A25" s="6"/>
      <c r="B25" s="6"/>
      <c r="C25" s="6" t="s">
        <v>97</v>
      </c>
      <c r="D25" s="6" t="s">
        <v>98</v>
      </c>
      <c r="E25" s="6"/>
      <c r="F25" s="6" t="s">
        <v>105</v>
      </c>
      <c r="G25" s="6" t="s">
        <v>106</v>
      </c>
    </row>
    <row r="26" spans="1:7">
      <c r="A26" s="6" t="s">
        <v>99</v>
      </c>
      <c r="B26" s="6"/>
      <c r="C26" s="6" t="s">
        <v>100</v>
      </c>
      <c r="D26" s="6" t="s">
        <v>101</v>
      </c>
      <c r="E26" s="6"/>
      <c r="F26" s="6"/>
      <c r="G26" s="6"/>
    </row>
    <row r="27" spans="1:7">
      <c r="A27" s="6"/>
      <c r="B27" s="6"/>
      <c r="C27" s="13">
        <f>SUM(C28:C37)</f>
        <v>33218030</v>
      </c>
      <c r="D27" s="13">
        <f>SUM(D28:D37)</f>
        <v>1524262516</v>
      </c>
      <c r="E27" s="6"/>
      <c r="F27" s="6"/>
      <c r="G27" s="6"/>
    </row>
    <row r="28" spans="1:7">
      <c r="A28" s="6" t="s">
        <v>102</v>
      </c>
      <c r="B28" s="6"/>
      <c r="C28" s="14">
        <v>3321803</v>
      </c>
      <c r="D28" s="14">
        <v>27136934</v>
      </c>
      <c r="E28" s="6"/>
      <c r="F28" s="15">
        <f>D28/C28</f>
        <v>8.1693387597036917</v>
      </c>
      <c r="G28" s="16">
        <f>F28/3</f>
        <v>2.7231129199012307</v>
      </c>
    </row>
    <row r="29" spans="1:7">
      <c r="A29" s="6" t="s">
        <v>103</v>
      </c>
      <c r="B29" s="6"/>
      <c r="C29" s="14">
        <v>3321803</v>
      </c>
      <c r="D29" s="14">
        <v>45939106</v>
      </c>
      <c r="E29" s="6"/>
      <c r="F29" s="15">
        <f t="shared" ref="F29:F37" si="1">D29/C29</f>
        <v>13.829569664426216</v>
      </c>
      <c r="G29" s="16">
        <f t="shared" ref="G29:G37" si="2">F29/3</f>
        <v>4.6098565548087391</v>
      </c>
    </row>
    <row r="30" spans="1:7">
      <c r="A30" s="6" t="s">
        <v>71</v>
      </c>
      <c r="B30" s="6"/>
      <c r="C30" s="14">
        <v>3321803</v>
      </c>
      <c r="D30" s="14">
        <v>61078947</v>
      </c>
      <c r="E30" s="6"/>
      <c r="F30" s="15">
        <f t="shared" si="1"/>
        <v>18.387287566421008</v>
      </c>
      <c r="G30" s="16">
        <f t="shared" si="2"/>
        <v>6.1290958554736692</v>
      </c>
    </row>
    <row r="31" spans="1:7">
      <c r="A31" s="6" t="s">
        <v>74</v>
      </c>
      <c r="B31" s="6"/>
      <c r="C31" s="14">
        <v>3321803</v>
      </c>
      <c r="D31" s="14">
        <v>76890425</v>
      </c>
      <c r="E31" s="6"/>
      <c r="F31" s="15">
        <f t="shared" si="1"/>
        <v>23.147195965564485</v>
      </c>
      <c r="G31" s="16">
        <f t="shared" si="2"/>
        <v>7.7157319885214948</v>
      </c>
    </row>
    <row r="32" spans="1:7">
      <c r="A32" s="6" t="s">
        <v>77</v>
      </c>
      <c r="B32" s="6"/>
      <c r="C32" s="14">
        <v>3321803</v>
      </c>
      <c r="D32" s="14">
        <v>94598336</v>
      </c>
      <c r="E32" s="6"/>
      <c r="F32" s="15">
        <f t="shared" si="1"/>
        <v>28.478009081212825</v>
      </c>
      <c r="G32" s="16">
        <f t="shared" si="2"/>
        <v>9.4926696937376089</v>
      </c>
    </row>
    <row r="33" spans="1:9">
      <c r="A33" s="32" t="s">
        <v>80</v>
      </c>
      <c r="B33" s="32"/>
      <c r="C33" s="33">
        <v>3321803</v>
      </c>
      <c r="D33" s="33">
        <v>115817953</v>
      </c>
      <c r="E33" s="32"/>
      <c r="F33" s="34">
        <f t="shared" si="1"/>
        <v>34.865990848945586</v>
      </c>
      <c r="G33" s="35">
        <f t="shared" si="2"/>
        <v>11.621996949648528</v>
      </c>
    </row>
    <row r="34" spans="1:9">
      <c r="A34" s="36" t="s">
        <v>83</v>
      </c>
      <c r="B34" s="36"/>
      <c r="C34" s="37">
        <v>3321803</v>
      </c>
      <c r="D34" s="37">
        <v>142938032</v>
      </c>
      <c r="E34" s="36"/>
      <c r="F34" s="38">
        <f t="shared" si="1"/>
        <v>43.030255556997211</v>
      </c>
      <c r="G34" s="39">
        <f t="shared" si="2"/>
        <v>14.343418518999071</v>
      </c>
    </row>
    <row r="35" spans="1:9">
      <c r="A35" s="6" t="s">
        <v>86</v>
      </c>
      <c r="B35" s="6"/>
      <c r="C35" s="14">
        <v>3321803</v>
      </c>
      <c r="D35" s="14">
        <v>179837550</v>
      </c>
      <c r="E35" s="6"/>
      <c r="F35" s="15">
        <f t="shared" si="1"/>
        <v>54.138535608523441</v>
      </c>
      <c r="G35" s="16">
        <f t="shared" si="2"/>
        <v>18.04617853617448</v>
      </c>
    </row>
    <row r="36" spans="1:9">
      <c r="A36" s="6" t="s">
        <v>89</v>
      </c>
      <c r="B36" s="6"/>
      <c r="C36" s="14">
        <v>3321803</v>
      </c>
      <c r="D36" s="14">
        <v>243328564</v>
      </c>
      <c r="E36" s="6"/>
      <c r="F36" s="15">
        <f t="shared" si="1"/>
        <v>73.251955037670811</v>
      </c>
      <c r="G36" s="16">
        <f t="shared" si="2"/>
        <v>24.417318345890269</v>
      </c>
    </row>
    <row r="37" spans="1:9">
      <c r="A37" s="6" t="s">
        <v>92</v>
      </c>
      <c r="B37" s="6"/>
      <c r="C37" s="14">
        <v>3321803</v>
      </c>
      <c r="D37" s="14">
        <v>536696669</v>
      </c>
      <c r="E37" s="6"/>
      <c r="F37" s="15">
        <f t="shared" si="1"/>
        <v>161.56788015424155</v>
      </c>
      <c r="G37" s="16">
        <f t="shared" si="2"/>
        <v>53.855960051413852</v>
      </c>
    </row>
    <row r="39" spans="1:9">
      <c r="A39" s="77"/>
      <c r="B39" s="78"/>
      <c r="C39" s="78" t="s">
        <v>129</v>
      </c>
      <c r="D39" s="78" t="s">
        <v>106</v>
      </c>
      <c r="E39" s="79" t="s">
        <v>108</v>
      </c>
      <c r="F39" s="78" t="s">
        <v>107</v>
      </c>
      <c r="G39" s="77"/>
    </row>
    <row r="40" spans="1:9">
      <c r="A40" s="19"/>
      <c r="B40" s="76" t="s">
        <v>128</v>
      </c>
      <c r="C40" s="20">
        <v>68.28</v>
      </c>
      <c r="D40" s="18">
        <f>C40*365/12</f>
        <v>2076.85</v>
      </c>
      <c r="E40" s="21">
        <f>D40*5</f>
        <v>10384.25</v>
      </c>
      <c r="F40" s="22">
        <f>C37*5</f>
        <v>16609015</v>
      </c>
      <c r="G40" s="17"/>
    </row>
    <row r="41" spans="1:9">
      <c r="A41" s="17"/>
      <c r="B41" s="19" t="s">
        <v>15</v>
      </c>
      <c r="C41" s="21">
        <f>DAP!P31</f>
        <v>60.505690795951253</v>
      </c>
      <c r="D41" s="17"/>
      <c r="E41" s="17"/>
      <c r="F41" s="24">
        <f>C41*F40*12</f>
        <v>12059279112.183796</v>
      </c>
      <c r="G41" s="17" t="s">
        <v>111</v>
      </c>
      <c r="I41" s="4"/>
    </row>
    <row r="42" spans="1:9">
      <c r="A42" s="17"/>
      <c r="B42" s="17"/>
      <c r="C42" s="17"/>
      <c r="D42" s="17"/>
      <c r="E42" s="17"/>
      <c r="F42" s="26">
        <f>F41*(G45-1)/(G45*G44)</f>
        <v>109462559092.28973</v>
      </c>
      <c r="G42" s="27" t="s">
        <v>113</v>
      </c>
      <c r="H42" s="25"/>
    </row>
    <row r="43" spans="1:9">
      <c r="F43" s="28" t="s">
        <v>112</v>
      </c>
      <c r="G43" s="27">
        <v>25</v>
      </c>
      <c r="H43" s="27" t="s">
        <v>114</v>
      </c>
    </row>
    <row r="44" spans="1:9">
      <c r="C44" s="2" t="s">
        <v>120</v>
      </c>
      <c r="D44" s="11">
        <f>SUM(C33:C37)</f>
        <v>16609015</v>
      </c>
      <c r="F44" s="2" t="s">
        <v>115</v>
      </c>
      <c r="G44">
        <v>0.1</v>
      </c>
    </row>
    <row r="45" spans="1:9" ht="17.25">
      <c r="F45" s="29" t="s">
        <v>119</v>
      </c>
      <c r="G45" s="30">
        <f>(1+G44)^G43</f>
        <v>10.834705943388391</v>
      </c>
    </row>
    <row r="46" spans="1:9">
      <c r="F46" s="11">
        <f>F41*25</f>
        <v>301481977804.59491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5"/>
  <sheetData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DAP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Laptop</cp:lastModifiedBy>
  <dcterms:created xsi:type="dcterms:W3CDTF">2017-03-11T00:06:31Z</dcterms:created>
  <dcterms:modified xsi:type="dcterms:W3CDTF">2020-05-13T00:36:54Z</dcterms:modified>
</cp:coreProperties>
</file>